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21113-EMPA-Kidney\"/>
    </mc:Choice>
  </mc:AlternateContent>
  <xr:revisionPtr revIDLastSave="0" documentId="13_ncr:1_{C71A3BB5-42B7-454F-B107-1E3E2A56BDFC}" xr6:coauthVersionLast="36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</workbook>
</file>

<file path=xl/calcChain.xml><?xml version="1.0" encoding="utf-8"?>
<calcChain xmlns="http://schemas.openxmlformats.org/spreadsheetml/2006/main">
  <c r="D9" i="1" l="1"/>
  <c r="B23" i="1" s="1"/>
  <c r="D53" i="1"/>
  <c r="B50" i="1"/>
  <c r="E58" i="1" s="1"/>
  <c r="E38" i="1"/>
  <c r="E37" i="1"/>
  <c r="I23" i="1"/>
  <c r="I22" i="1"/>
  <c r="C22" i="1"/>
  <c r="B22" i="1"/>
  <c r="I21" i="1"/>
  <c r="C21" i="1"/>
  <c r="D14" i="1"/>
  <c r="F9" i="1"/>
  <c r="C23" i="1" s="1"/>
  <c r="E8" i="1"/>
  <c r="B14" i="1"/>
  <c r="G14" i="1"/>
  <c r="E51" i="1" s="1"/>
  <c r="E7" i="1"/>
  <c r="B21" i="1"/>
  <c r="C53" i="1"/>
  <c r="E21" i="1" l="1"/>
  <c r="G21" i="1"/>
  <c r="G58" i="1"/>
  <c r="F58" i="1"/>
  <c r="E9" i="1"/>
  <c r="D38" i="1" s="1"/>
  <c r="D43" i="1" s="1"/>
  <c r="D21" i="1"/>
  <c r="J21" i="1" s="1"/>
  <c r="E23" i="1"/>
  <c r="E22" i="1"/>
  <c r="C14" i="1"/>
  <c r="E14" i="1" s="1"/>
  <c r="H14" i="1" s="1"/>
  <c r="L14" i="1" s="1"/>
  <c r="K14" i="1"/>
  <c r="N21" i="1"/>
  <c r="E39" i="1"/>
  <c r="D22" i="1"/>
  <c r="F22" i="1" s="1"/>
  <c r="G22" i="1"/>
  <c r="N23" i="1"/>
  <c r="D23" i="1"/>
  <c r="G23" i="1"/>
  <c r="C38" i="1"/>
  <c r="C43" i="1" s="1"/>
  <c r="C37" i="1"/>
  <c r="K52" i="1" l="1"/>
  <c r="C55" i="1" s="1"/>
  <c r="C59" i="1" s="1"/>
  <c r="D37" i="1"/>
  <c r="D39" i="1" s="1"/>
  <c r="F21" i="1"/>
  <c r="L21" i="1" s="1"/>
  <c r="M52" i="1" s="1"/>
  <c r="F14" i="1"/>
  <c r="I14" i="1" s="1"/>
  <c r="E53" i="1" s="1"/>
  <c r="E52" i="1"/>
  <c r="W21" i="1"/>
  <c r="J26" i="1"/>
  <c r="N22" i="1" s="1"/>
  <c r="N24" i="1" s="1"/>
  <c r="N25" i="1" s="1"/>
  <c r="N26" i="1" s="1"/>
  <c r="J22" i="1"/>
  <c r="K22" i="1"/>
  <c r="L22" i="1"/>
  <c r="Q28" i="1"/>
  <c r="F23" i="1"/>
  <c r="W22" i="1"/>
  <c r="J23" i="1"/>
  <c r="K54" i="1" s="1"/>
  <c r="C39" i="1"/>
  <c r="C42" i="1"/>
  <c r="K53" i="1" l="1"/>
  <c r="D55" i="1" s="1"/>
  <c r="D59" i="1" s="1"/>
  <c r="K21" i="1"/>
  <c r="L52" i="1" s="1"/>
  <c r="N52" i="1" s="1"/>
  <c r="D42" i="1"/>
  <c r="C45" i="1" s="1"/>
  <c r="K38" i="1"/>
  <c r="I37" i="1" s="1"/>
  <c r="M14" i="1"/>
  <c r="E55" i="1"/>
  <c r="E59" i="1" s="1"/>
  <c r="W23" i="1"/>
  <c r="W24" i="1" s="1"/>
  <c r="W25" i="1" s="1"/>
  <c r="N31" i="1"/>
  <c r="N32" i="1" s="1"/>
  <c r="N33" i="1" s="1"/>
  <c r="F51" i="1"/>
  <c r="J27" i="1"/>
  <c r="L53" i="1"/>
  <c r="K26" i="1"/>
  <c r="M53" i="1"/>
  <c r="K23" i="1"/>
  <c r="L54" i="1" s="1"/>
  <c r="L23" i="1"/>
  <c r="M54" i="1" s="1"/>
  <c r="L26" i="1" l="1"/>
  <c r="L59" i="1" s="1"/>
  <c r="H53" i="1"/>
  <c r="H55" i="1" s="1"/>
  <c r="H59" i="1" s="1"/>
  <c r="G51" i="1"/>
  <c r="N54" i="1"/>
  <c r="K27" i="1"/>
  <c r="F53" i="1"/>
  <c r="N53" i="1"/>
  <c r="G43" i="1"/>
  <c r="C46" i="1"/>
  <c r="J59" i="1" s="1"/>
  <c r="M59" i="1" l="1"/>
  <c r="L27" i="1"/>
  <c r="F52" i="1"/>
  <c r="F55" i="1" s="1"/>
  <c r="F59" i="1" s="1"/>
  <c r="G53" i="1"/>
  <c r="G52" i="1" l="1"/>
  <c r="G55" i="1" s="1"/>
  <c r="G59" i="1" s="1"/>
</calcChain>
</file>

<file path=xl/sharedStrings.xml><?xml version="1.0" encoding="utf-8"?>
<sst xmlns="http://schemas.openxmlformats.org/spreadsheetml/2006/main" count="230" uniqueCount="210">
  <si>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</si>
  <si>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</si>
  <si>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</si>
  <si>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</si>
  <si>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</si>
  <si>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</si>
  <si>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</si>
  <si>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</si>
  <si>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</si>
  <si>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</si>
  <si>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</si>
  <si>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</si>
  <si>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</si>
  <si>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</si>
  <si>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</si>
  <si>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</si>
  <si>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</si>
  <si>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</si>
  <si>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</si>
  <si>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</si>
  <si>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</si>
  <si>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</si>
  <si>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</si>
  <si>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</si>
  <si>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</si>
  <si>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</si>
  <si>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</si>
  <si>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</si>
  <si>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</si>
  <si>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</si>
  <si>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</si>
  <si>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</si>
  <si>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</si>
  <si>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</si>
  <si>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</si>
  <si>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</si>
  <si>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</si>
  <si>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</si>
  <si>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</si>
  <si>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</si>
  <si>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</si>
  <si>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</si>
  <si>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</si>
  <si>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</si>
  <si>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</si>
  <si>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</si>
  <si>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</si>
  <si>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</si>
  <si>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</si>
  <si>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</si>
  <si>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</si>
  <si>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</si>
  <si>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</si>
  <si>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</si>
  <si>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</si>
  <si>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</si>
  <si>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</si>
  <si>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</si>
  <si>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</si>
  <si>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</si>
  <si>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</si>
  <si>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</si>
  <si>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</si>
  <si>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</si>
  <si>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</si>
  <si>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</si>
  <si>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</si>
  <si>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</si>
  <si>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</si>
  <si>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</si>
  <si>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</si>
  <si>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</si>
  <si>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</si>
  <si>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</si>
  <si>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</si>
  <si>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</si>
  <si>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</si>
  <si>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</si>
  <si>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</si>
  <si>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</si>
  <si>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</si>
  <si>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</si>
  <si>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</si>
  <si>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</si>
  <si>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</si>
  <si>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</si>
  <si>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</si>
  <si>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</si>
  <si>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</si>
  <si>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</si>
  <si>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</si>
  <si>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</si>
  <si>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</si>
  <si>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</si>
  <si>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</si>
  <si>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</si>
  <si>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</si>
  <si>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</si>
  <si>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</si>
  <si>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</si>
  <si>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</si>
  <si>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</si>
  <si>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</si>
  <si>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valor de p para la diferencia</t>
  </si>
  <si>
    <t>Edad, años</t>
  </si>
  <si>
    <t>Mujeres</t>
  </si>
  <si>
    <t>Raza</t>
  </si>
  <si>
    <t>Blancos</t>
  </si>
  <si>
    <t>Asiáticos</t>
  </si>
  <si>
    <t>Negros</t>
  </si>
  <si>
    <t>Otros</t>
  </si>
  <si>
    <t>Diuréticos</t>
  </si>
  <si>
    <t>Presión arterial diastólica, mm Hg</t>
  </si>
  <si>
    <t>Presión arterial sistólica, mm Hg</t>
  </si>
  <si>
    <t>Nº (%) con FGe 30 a 45</t>
  </si>
  <si>
    <t>Nº (%) con FGe &lt; 30</t>
  </si>
  <si>
    <t>Función renal</t>
  </si>
  <si>
    <t>Cociente albúmina (mg)/ creatinina (g), mediana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</si>
  <si>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corporal: </t>
    </r>
    <r>
      <rPr>
        <b/>
        <sz val="9"/>
        <rFont val="Calibri"/>
        <family val="2"/>
      </rPr>
      <t>IQR:</t>
    </r>
    <r>
      <rPr>
        <sz val="9"/>
        <rFont val="Calibri"/>
        <family val="2"/>
      </rPr>
      <t xml:space="preserve"> rango intercuartílico entre el percentil 25 y el percentil 75.</t>
    </r>
  </si>
  <si>
    <t>Enfermedad cardiovascular</t>
  </si>
  <si>
    <r>
      <t>FGe, ml/min/1,73 m</t>
    </r>
    <r>
      <rPr>
        <vertAlign val="superscript"/>
        <sz val="10"/>
        <rFont val="Calibri"/>
        <family val="2"/>
        <scheme val="minor"/>
      </rPr>
      <t>2</t>
    </r>
  </si>
  <si>
    <t>Con el factor</t>
  </si>
  <si>
    <t>Sin el factor</t>
  </si>
  <si>
    <t>Placebo</t>
  </si>
  <si>
    <t>Herrington WG, Staplin N, Wanner C, Green JB, on behalf of the EMPA-KIDNEY Collaborative Group. Empagliflozin in Patients with Chronic Kidney Disease. N Engl J Med. 2022 Nov 4. doi: 10.1056/NEJMoa2204233. Epub ahead of print. PMID: 36331190.</t>
  </si>
  <si>
    <r>
      <rPr>
        <b/>
        <sz val="11"/>
        <color indexed="60"/>
        <rFont val="Calibri"/>
        <family val="2"/>
      </rPr>
      <t>Suplemento 1:</t>
    </r>
    <r>
      <rPr>
        <b/>
        <sz val="11"/>
        <rFont val="Calibri"/>
        <family val="2"/>
      </rPr>
      <t xml:space="preserve"> Características sociodemográficas y clínicas en el inicio (baseline), ECA EMPA-KIDNEY</t>
    </r>
  </si>
  <si>
    <t>Empaglifozina</t>
  </si>
  <si>
    <t>Tto estándar + Empaglifozina, n= 3304</t>
  </si>
  <si>
    <t>Tto estándar + Placebo, n= 3305</t>
  </si>
  <si>
    <t>63,9 (DE 13,9)</t>
  </si>
  <si>
    <t>63,8 (DE 13,9)</t>
  </si>
  <si>
    <t>37,4 (DE 14,5)</t>
  </si>
  <si>
    <t>37,3 (DE 14,4)</t>
  </si>
  <si>
    <t>1097/3304 (33,2%)</t>
  </si>
  <si>
    <t>Diabetes tipo 2</t>
  </si>
  <si>
    <t>Diabetes tipo 1</t>
  </si>
  <si>
    <t>136,4 (DE 18,1)</t>
  </si>
  <si>
    <t>136,7 (DE 18,4)</t>
  </si>
  <si>
    <t>78,1 (DE 11,7)</t>
  </si>
  <si>
    <t>78,1 (DE 11,9)</t>
  </si>
  <si>
    <t>29,7 (DE 6,7)</t>
  </si>
  <si>
    <t>29,8 (DE 6,8)</t>
  </si>
  <si>
    <t>1467/3304 (44,4%)</t>
  </si>
  <si>
    <r>
      <t xml:space="preserve">Nº (%) con FGe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45</t>
    </r>
  </si>
  <si>
    <t>Las variables dicotómicas se informan en Número y Porcentaje, Nº (%). Las variables continuas en Media y Desviación Estándar, media (DE), salvo que se informen en Mediana y Rango Intercuatílico, mediana [IQR].</t>
  </si>
  <si>
    <t>331 [IQR, 46 a 1061]</t>
  </si>
  <si>
    <t>327 [IQR, 54 a 1074]</t>
  </si>
  <si>
    <t>Nº (%) con &lt; 30</t>
  </si>
  <si>
    <t>Nº (%) con ≥ 300</t>
  </si>
  <si>
    <t>Medicaciones</t>
  </si>
  <si>
    <t>Hipolimepiantes</t>
  </si>
  <si>
    <t>Inhibidores del sistema renina-angiotensina</t>
  </si>
  <si>
    <t>2188/3305 (66,2%)</t>
  </si>
  <si>
    <t>Nº (%) con 30 a &lt; 300</t>
  </si>
  <si>
    <t>162 [IQR, 70 a 421]</t>
  </si>
  <si>
    <t>159 [IQR, 68 a 417]</t>
  </si>
  <si>
    <t>Prohormona N-terminal del péptido natriurético tipo B (NT-proBNP) en ng/L, mediana [IQR]</t>
  </si>
  <si>
    <t>Causas de la enfermedad renal</t>
  </si>
  <si>
    <t>Enfermedad renal diabética</t>
  </si>
  <si>
    <t>Enfermedad hipertensiva o renovascular</t>
  </si>
  <si>
    <t>Enfermedad glomerular</t>
  </si>
  <si>
    <t>Otras</t>
  </si>
  <si>
    <t>Desconocidas</t>
  </si>
  <si>
    <t>304/3305 (9,2%)</t>
  </si>
  <si>
    <t>Más de la historia clínica</t>
  </si>
  <si>
    <t>1095/3305 (33,1%)</t>
  </si>
  <si>
    <t>1939/3304 (58,7%)</t>
  </si>
  <si>
    <t>1920/3305 (58,1%)</t>
  </si>
  <si>
    <t>1194/3304 (36,1%)</t>
  </si>
  <si>
    <t>1199/3305 (36,3%)</t>
  </si>
  <si>
    <t>128/3304 (3,9%)</t>
  </si>
  <si>
    <t>134/3305 (4,1%)</t>
  </si>
  <si>
    <t>29/3304 (0,9%)</t>
  </si>
  <si>
    <t>45/3305 (1,4%)</t>
  </si>
  <si>
    <t>1131/3304 (34,2%)</t>
  </si>
  <si>
    <t>1151/3305 (34,8%)</t>
  </si>
  <si>
    <t>1461/3305 (44,2%)</t>
  </si>
  <si>
    <t>706/3304 (21,4%)</t>
  </si>
  <si>
    <t>693/3305 (21%)</t>
  </si>
  <si>
    <t>665/3304 (20,1%)</t>
  </si>
  <si>
    <t>663/3305 (20,1%)</t>
  </si>
  <si>
    <t>927/3304 (28,1%)</t>
  </si>
  <si>
    <t>937/3305 (28,4%)</t>
  </si>
  <si>
    <t>1712/3304 (51,8%)</t>
  </si>
  <si>
    <t>1705/3305 (51,6%)</t>
  </si>
  <si>
    <t>1032/3304 (31,2%)</t>
  </si>
  <si>
    <t>1025/3305 (31%)</t>
  </si>
  <si>
    <t>739/3305 (22,4%)</t>
  </si>
  <si>
    <t>853/3304 (25,8%)</t>
  </si>
  <si>
    <t>816/3305 (24,7%)</t>
  </si>
  <si>
    <t>387/3304 (11,7%)</t>
  </si>
  <si>
    <t>421/3305 (12,7%)</t>
  </si>
  <si>
    <t>326/3304 (9,9%)</t>
  </si>
  <si>
    <t>1470/3304 (44,5%)</t>
  </si>
  <si>
    <t>1466/3305 (44,4%)</t>
  </si>
  <si>
    <t>14/3304 (0,4%)</t>
  </si>
  <si>
    <t>34/3305 (1%)</t>
  </si>
  <si>
    <t>861/3304 (26,1%)</t>
  </si>
  <si>
    <t>904/3305 (27,4%)</t>
  </si>
  <si>
    <t>2831/3304 (85,7%)</t>
  </si>
  <si>
    <t>2797/3305 (84,6%)</t>
  </si>
  <si>
    <t>1362/3304 (41,2%)</t>
  </si>
  <si>
    <t>1453/3305 (44%)</t>
  </si>
  <si>
    <t>2190/3304 (66,3%)</t>
  </si>
  <si>
    <t>Criterio de exclusión</t>
  </si>
  <si>
    <t>Criterio de inclusión: 25 a 75 ml/min</t>
  </si>
  <si>
    <r>
      <t>IMC, Kg/m</t>
    </r>
    <r>
      <rPr>
        <vertAlign val="superscript"/>
        <sz val="10"/>
        <rFont val="Calibri"/>
        <family val="2"/>
        <scheme val="minor"/>
      </rPr>
      <t>2</t>
    </r>
  </si>
  <si>
    <t>Faltaría informar creatinina sérica (pues con ésta se calcula la tasa de FGe)</t>
  </si>
  <si>
    <t>Aunque era condición de inclusión, se permitió no utilizarlo si el investigador juzgaba que no estaba indicado o no tolerado</t>
  </si>
  <si>
    <t>20221104-ECA EMP-KN 2y, ERC [Empa vs Pl], -Progr ERC =Mort. Herrington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</si>
</sst>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5"/>
      <name val="Calibri"/>
      <family val="2"/>
      <scheme val="minor"/>
    </font>
    <font>
      <i/>
      <sz val="5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10" fillId="0" borderId="0" xfId="0" applyNumberFormat="1" applyFont="1"/>
    <xf numFmtId="43" fontId="13" fillId="0" borderId="0" xfId="1" applyFont="1" applyFill="1" applyBorder="1" applyAlignment="1">
      <alignment horizontal="center"/>
    </xf>
    <xf numFmtId="43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43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7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43" fontId="16" fillId="0" borderId="0" xfId="1" applyFont="1" applyFill="1" applyBorder="1"/>
    <xf numFmtId="0" fontId="15" fillId="0" borderId="0" xfId="0" applyFont="1" applyFill="1" applyAlignment="1">
      <alignment horizontal="center"/>
    </xf>
    <xf numFmtId="43" fontId="16" fillId="0" borderId="0" xfId="1" applyFont="1" applyFill="1" applyAlignment="1">
      <alignment horizontal="right"/>
    </xf>
    <xf numFmtId="0" fontId="16" fillId="0" borderId="0" xfId="0" applyFont="1" applyFill="1" applyBorder="1"/>
    <xf numFmtId="43" fontId="10" fillId="0" borderId="0" xfId="0" applyNumberFormat="1" applyFont="1" applyFill="1"/>
    <xf numFmtId="171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169" fontId="1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69" fontId="10" fillId="0" borderId="0" xfId="0" applyNumberFormat="1" applyFont="1" applyBorder="1"/>
    <xf numFmtId="0" fontId="21" fillId="0" borderId="0" xfId="0" applyFont="1" applyBorder="1"/>
    <xf numFmtId="49" fontId="22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8" fillId="0" borderId="0" xfId="2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10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0" fontId="24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4" xfId="1" applyNumberFormat="1" applyFont="1" applyFill="1" applyBorder="1"/>
    <xf numFmtId="164" fontId="12" fillId="0" borderId="4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43" fontId="25" fillId="0" borderId="4" xfId="1" applyFont="1" applyBorder="1"/>
    <xf numFmtId="0" fontId="12" fillId="0" borderId="0" xfId="0" applyFont="1" applyBorder="1" applyAlignment="1">
      <alignment horizontal="right"/>
    </xf>
    <xf numFmtId="43" fontId="10" fillId="0" borderId="0" xfId="1" applyFont="1" applyBorder="1"/>
    <xf numFmtId="0" fontId="15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6" fillId="0" borderId="0" xfId="0" applyFont="1"/>
    <xf numFmtId="9" fontId="10" fillId="0" borderId="0" xfId="0" applyNumberFormat="1" applyFont="1" applyBorder="1"/>
    <xf numFmtId="0" fontId="10" fillId="0" borderId="26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7" xfId="0" applyFont="1" applyFill="1" applyBorder="1"/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/>
    <xf numFmtId="164" fontId="29" fillId="0" borderId="0" xfId="1" applyNumberFormat="1" applyFont="1" applyFill="1" applyBorder="1" applyAlignment="1"/>
    <xf numFmtId="164" fontId="28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5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43" fontId="15" fillId="0" borderId="5" xfId="1" applyFont="1" applyFill="1" applyBorder="1" applyAlignment="1">
      <alignment horizontal="center" vertical="center" wrapText="1"/>
    </xf>
    <xf numFmtId="43" fontId="15" fillId="0" borderId="5" xfId="1" applyFont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8" fontId="10" fillId="0" borderId="0" xfId="1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43" fontId="10" fillId="0" borderId="0" xfId="1" applyFont="1" applyBorder="1" applyAlignment="1">
      <alignment horizontal="center"/>
    </xf>
    <xf numFmtId="169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3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43" fontId="19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69" fontId="10" fillId="0" borderId="14" xfId="1" applyNumberFormat="1" applyFont="1" applyFill="1" applyBorder="1" applyAlignment="1">
      <alignment horizontal="center"/>
    </xf>
    <xf numFmtId="43" fontId="10" fillId="0" borderId="14" xfId="1" applyFont="1" applyFill="1" applyBorder="1" applyAlignment="1">
      <alignment horizontal="center"/>
    </xf>
    <xf numFmtId="43" fontId="15" fillId="0" borderId="14" xfId="1" applyFont="1" applyFill="1" applyBorder="1" applyAlignment="1"/>
    <xf numFmtId="43" fontId="15" fillId="0" borderId="26" xfId="1" applyFont="1" applyFill="1" applyBorder="1" applyAlignment="1"/>
    <xf numFmtId="0" fontId="10" fillId="0" borderId="16" xfId="0" applyFont="1" applyFill="1" applyBorder="1"/>
    <xf numFmtId="1" fontId="10" fillId="0" borderId="13" xfId="0" applyNumberFormat="1" applyFont="1" applyFill="1" applyBorder="1" applyAlignment="1">
      <alignment horizontal="center" vertical="center" wrapText="1"/>
    </xf>
    <xf numFmtId="43" fontId="15" fillId="0" borderId="27" xfId="1" applyFont="1" applyFill="1" applyBorder="1" applyAlignment="1"/>
    <xf numFmtId="10" fontId="10" fillId="0" borderId="13" xfId="2" applyNumberFormat="1" applyFont="1" applyFill="1" applyBorder="1"/>
    <xf numFmtId="0" fontId="10" fillId="0" borderId="27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3" fontId="10" fillId="0" borderId="13" xfId="0" applyNumberFormat="1" applyFont="1" applyBorder="1"/>
    <xf numFmtId="167" fontId="10" fillId="0" borderId="13" xfId="2" applyNumberFormat="1" applyFont="1" applyFill="1" applyBorder="1" applyAlignment="1">
      <alignment horizontal="center" vertical="center" wrapText="1"/>
    </xf>
    <xf numFmtId="165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4" fontId="10" fillId="0" borderId="13" xfId="0" applyNumberFormat="1" applyFont="1" applyFill="1" applyBorder="1" applyAlignment="1">
      <alignment horizontal="center" vertical="center" wrapText="1"/>
    </xf>
    <xf numFmtId="166" fontId="10" fillId="2" borderId="13" xfId="1" applyNumberFormat="1" applyFont="1" applyFill="1" applyBorder="1"/>
    <xf numFmtId="10" fontId="10" fillId="6" borderId="13" xfId="2" applyNumberFormat="1" applyFont="1" applyFill="1" applyBorder="1" applyAlignment="1">
      <alignment horizontal="center" vertical="center" wrapText="1"/>
    </xf>
    <xf numFmtId="10" fontId="20" fillId="0" borderId="13" xfId="0" applyNumberFormat="1" applyFont="1" applyBorder="1"/>
    <xf numFmtId="10" fontId="10" fillId="0" borderId="11" xfId="2" applyNumberFormat="1" applyFont="1" applyBorder="1" applyAlignment="1">
      <alignment horizontal="center" vertical="center" wrapText="1"/>
    </xf>
    <xf numFmtId="0" fontId="21" fillId="0" borderId="12" xfId="0" applyFont="1" applyBorder="1"/>
    <xf numFmtId="0" fontId="10" fillId="0" borderId="12" xfId="0" applyFont="1" applyBorder="1"/>
    <xf numFmtId="170" fontId="10" fillId="0" borderId="12" xfId="0" applyNumberFormat="1" applyFont="1" applyBorder="1"/>
    <xf numFmtId="0" fontId="10" fillId="0" borderId="30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0" xfId="0" applyFont="1" applyFill="1" applyBorder="1"/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5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8" fillId="0" borderId="0" xfId="2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10" fillId="0" borderId="0" xfId="1" applyFont="1" applyFill="1" applyBorder="1" applyAlignment="1"/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3" fontId="10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/>
    <xf numFmtId="43" fontId="10" fillId="0" borderId="12" xfId="1" applyFont="1" applyFill="1" applyBorder="1" applyAlignment="1">
      <alignment horizontal="center"/>
    </xf>
    <xf numFmtId="43" fontId="15" fillId="0" borderId="12" xfId="1" applyFont="1" applyFill="1" applyBorder="1" applyAlignment="1"/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right" vertical="center"/>
    </xf>
    <xf numFmtId="43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4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164" fontId="10" fillId="0" borderId="0" xfId="1" applyNumberFormat="1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3" fontId="10" fillId="6" borderId="0" xfId="0" applyNumberFormat="1" applyFont="1" applyFill="1" applyAlignment="1">
      <alignment horizontal="center" vertical="center" wrapText="1"/>
    </xf>
    <xf numFmtId="43" fontId="15" fillId="0" borderId="4" xfId="0" applyNumberFormat="1" applyFont="1" applyBorder="1"/>
    <xf numFmtId="43" fontId="10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5" fontId="15" fillId="6" borderId="4" xfId="1" applyNumberFormat="1" applyFont="1" applyFill="1" applyBorder="1"/>
    <xf numFmtId="169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174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vertical="center" wrapText="1"/>
    </xf>
    <xf numFmtId="0" fontId="36" fillId="7" borderId="7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left" vertical="center"/>
    </xf>
    <xf numFmtId="0" fontId="31" fillId="7" borderId="22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5" fillId="7" borderId="0" xfId="0" applyFont="1" applyFill="1" applyBorder="1" applyAlignment="1">
      <alignment vertical="center" wrapText="1"/>
    </xf>
    <xf numFmtId="0" fontId="31" fillId="7" borderId="28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vertical="center"/>
    </xf>
    <xf numFmtId="0" fontId="15" fillId="0" borderId="0" xfId="0" applyFont="1"/>
    <xf numFmtId="0" fontId="4" fillId="7" borderId="18" xfId="0" applyFont="1" applyFill="1" applyBorder="1" applyAlignment="1">
      <alignment vertical="distributed"/>
    </xf>
    <xf numFmtId="0" fontId="4" fillId="7" borderId="25" xfId="0" applyFont="1" applyFill="1" applyBorder="1" applyAlignment="1">
      <alignment vertical="distributed"/>
    </xf>
    <xf numFmtId="0" fontId="39" fillId="0" borderId="0" xfId="0" applyFont="1"/>
    <xf numFmtId="0" fontId="40" fillId="0" borderId="0" xfId="0" applyFont="1"/>
    <xf numFmtId="174" fontId="23" fillId="7" borderId="29" xfId="0" applyNumberFormat="1" applyFont="1" applyFill="1" applyBorder="1" applyAlignment="1">
      <alignment horizontal="center" vertical="center"/>
    </xf>
    <xf numFmtId="174" fontId="23" fillId="7" borderId="20" xfId="0" applyNumberFormat="1" applyFont="1" applyFill="1" applyBorder="1" applyAlignment="1">
      <alignment horizontal="center" vertical="center"/>
    </xf>
    <xf numFmtId="174" fontId="23" fillId="7" borderId="24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41" fillId="7" borderId="0" xfId="0" applyFont="1" applyFill="1" applyBorder="1" applyAlignment="1">
      <alignment horizontal="center" vertical="center"/>
    </xf>
    <xf numFmtId="174" fontId="42" fillId="7" borderId="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4" fontId="23" fillId="7" borderId="32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22" xfId="0" applyFont="1" applyBorder="1"/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174" fontId="23" fillId="7" borderId="35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7" borderId="23" xfId="0" applyFont="1" applyFill="1" applyBorder="1" applyAlignment="1">
      <alignment horizontal="left" vertical="center"/>
    </xf>
    <xf numFmtId="167" fontId="10" fillId="0" borderId="0" xfId="2" applyNumberFormat="1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171" fontId="15" fillId="0" borderId="0" xfId="1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3" fontId="10" fillId="4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4" borderId="4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48" fillId="7" borderId="9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174" fontId="23" fillId="7" borderId="3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174" fontId="23" fillId="7" borderId="39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4" fontId="23" fillId="7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49" fontId="32" fillId="0" borderId="0" xfId="1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1" fontId="31" fillId="0" borderId="0" xfId="0" applyNumberFormat="1" applyFont="1" applyFill="1" applyBorder="1" applyAlignment="1">
      <alignment horizontal="center" vertical="distributed"/>
    </xf>
    <xf numFmtId="164" fontId="31" fillId="0" borderId="0" xfId="0" applyNumberFormat="1" applyFont="1" applyFill="1" applyBorder="1" applyAlignment="1">
      <alignment horizontal="center" vertical="center" wrapText="1"/>
    </xf>
    <xf numFmtId="43" fontId="33" fillId="0" borderId="0" xfId="1" applyFont="1" applyFill="1" applyBorder="1"/>
    <xf numFmtId="43" fontId="31" fillId="0" borderId="0" xfId="1" applyFont="1" applyFill="1" applyBorder="1" applyAlignment="1">
      <alignment horizontal="right"/>
    </xf>
    <xf numFmtId="167" fontId="10" fillId="0" borderId="0" xfId="2" applyNumberFormat="1" applyFont="1" applyFill="1" applyAlignment="1">
      <alignment horizontal="center" vertical="center" wrapText="1"/>
    </xf>
    <xf numFmtId="10" fontId="10" fillId="0" borderId="4" xfId="2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0" fontId="10" fillId="0" borderId="4" xfId="2" applyNumberFormat="1" applyFont="1" applyBorder="1" applyAlignment="1">
      <alignment horizontal="center"/>
    </xf>
    <xf numFmtId="43" fontId="10" fillId="0" borderId="4" xfId="1" applyFont="1" applyBorder="1" applyAlignment="1">
      <alignment horizontal="center"/>
    </xf>
    <xf numFmtId="4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0" fontId="10" fillId="0" borderId="4" xfId="2" applyNumberFormat="1" applyFont="1" applyFill="1" applyBorder="1" applyAlignment="1"/>
    <xf numFmtId="2" fontId="10" fillId="0" borderId="4" xfId="0" applyNumberFormat="1" applyFont="1" applyFill="1" applyBorder="1" applyAlignment="1">
      <alignment horizontal="center" vertical="center" wrapText="1"/>
    </xf>
    <xf numFmtId="167" fontId="10" fillId="0" borderId="4" xfId="2" applyNumberFormat="1" applyFont="1" applyFill="1" applyBorder="1" applyAlignment="1">
      <alignment horizontal="center" vertical="center" wrapText="1"/>
    </xf>
    <xf numFmtId="174" fontId="49" fillId="7" borderId="32" xfId="0" applyNumberFormat="1" applyFont="1" applyFill="1" applyBorder="1" applyAlignment="1">
      <alignment horizontal="center" vertical="center"/>
    </xf>
    <xf numFmtId="174" fontId="49" fillId="7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0000FF"/>
      <color rgb="FF008000"/>
      <color rgb="FF009900"/>
      <color rgb="FF0070C0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40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40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05"/>
  <sheetViews>
    <sheetView tabSelected="1" topLeftCell="A62" zoomScale="85" zoomScaleNormal="85" workbookViewId="0">
      <selection activeCell="F105" sqref="F105"/>
    </sheetView>
  </sheetViews>
  <sheetFormatPr baseColWidth="10" defaultColWidth="11.453125" defaultRowHeight="13" x14ac:dyDescent="0.3"/>
  <cols>
    <col min="1" max="1" width="1" style="5" customWidth="1"/>
    <col min="2" max="2" width="43" style="5" customWidth="1"/>
    <col min="3" max="3" width="20.453125" style="5" customWidth="1"/>
    <col min="4" max="4" width="19" style="5" customWidth="1"/>
    <col min="5" max="5" width="15.54296875" style="5" customWidth="1"/>
    <col min="6" max="6" width="20.1796875" style="5" customWidth="1"/>
    <col min="7" max="7" width="16.54296875" style="5" customWidth="1"/>
    <col min="8" max="8" width="8.7265625" style="5" customWidth="1"/>
    <col min="9" max="9" width="4.54296875" style="5" customWidth="1"/>
    <col min="10" max="10" width="13.81640625" style="5" customWidth="1"/>
    <col min="11" max="11" width="2.453125" style="5" customWidth="1"/>
    <col min="12" max="13" width="14.26953125" style="5" customWidth="1"/>
    <col min="14" max="14" width="14.7265625" style="5" bestFit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93"/>
      <c r="C1" s="94"/>
      <c r="D1" s="93"/>
      <c r="E1" s="95"/>
      <c r="F1" s="5"/>
      <c r="G1" s="5"/>
      <c r="H1" s="96"/>
      <c r="I1" s="96"/>
      <c r="J1" s="96"/>
      <c r="K1" s="96"/>
      <c r="L1" s="8"/>
      <c r="M1" s="13"/>
      <c r="N1" s="13"/>
      <c r="O1" s="2"/>
      <c r="P1" s="2"/>
      <c r="Q1" s="3"/>
      <c r="R1" s="2"/>
      <c r="S1" s="2"/>
      <c r="T1" s="2"/>
      <c r="U1" s="97"/>
      <c r="V1" s="97"/>
      <c r="W1" s="97"/>
      <c r="X1" s="97"/>
      <c r="Y1" s="97"/>
      <c r="Z1" s="97"/>
      <c r="AA1" s="97"/>
      <c r="AB1" s="97"/>
      <c r="AC1" s="97"/>
    </row>
    <row r="2" spans="2:30" ht="24.75" customHeight="1" thickBot="1" x14ac:dyDescent="0.35">
      <c r="B2" s="323" t="s">
        <v>60</v>
      </c>
      <c r="C2" s="324"/>
      <c r="D2" s="324"/>
      <c r="E2" s="324"/>
      <c r="F2" s="325"/>
      <c r="G2" s="98"/>
      <c r="H2" s="99" t="s">
        <v>65</v>
      </c>
      <c r="I2" s="100">
        <v>0.95</v>
      </c>
      <c r="J2" s="98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326" t="s">
        <v>102</v>
      </c>
      <c r="C3" s="327"/>
      <c r="D3" s="327"/>
      <c r="E3" s="327"/>
      <c r="F3" s="328"/>
      <c r="G3" s="101"/>
      <c r="H3" s="101"/>
      <c r="I3" s="101"/>
      <c r="J3" s="101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77"/>
      <c r="C4" s="14"/>
      <c r="D4" s="13"/>
      <c r="E4" s="13"/>
      <c r="F4" s="6"/>
      <c r="G4" s="15"/>
      <c r="J4" s="101"/>
      <c r="K4" s="78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02" t="s">
        <v>53</v>
      </c>
      <c r="C5" s="278"/>
      <c r="D5" s="278"/>
      <c r="E5" s="278"/>
      <c r="F5" s="278"/>
      <c r="J5" s="101"/>
      <c r="K5" s="103"/>
      <c r="L5" s="104"/>
      <c r="M5" s="104"/>
      <c r="N5" s="104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81"/>
      <c r="C6" s="20"/>
      <c r="D6" s="279" t="s">
        <v>121</v>
      </c>
      <c r="E6" s="279" t="s">
        <v>122</v>
      </c>
      <c r="F6" s="279" t="s">
        <v>22</v>
      </c>
      <c r="I6" s="103"/>
      <c r="J6" s="101"/>
      <c r="K6" s="103"/>
      <c r="L6" s="104"/>
      <c r="M6" s="104"/>
      <c r="N6" s="104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81"/>
      <c r="C7" s="280" t="s">
        <v>126</v>
      </c>
      <c r="D7" s="281">
        <v>1097</v>
      </c>
      <c r="E7" s="282">
        <f>F7-D7</f>
        <v>2207</v>
      </c>
      <c r="F7" s="283">
        <v>3304</v>
      </c>
      <c r="H7" s="235"/>
      <c r="J7" s="236"/>
      <c r="K7" s="103"/>
      <c r="L7" s="104"/>
      <c r="M7" s="104"/>
      <c r="N7" s="104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81"/>
      <c r="C8" s="280" t="s">
        <v>123</v>
      </c>
      <c r="D8" s="281">
        <v>1095</v>
      </c>
      <c r="E8" s="282">
        <f>F8-D8</f>
        <v>2210</v>
      </c>
      <c r="F8" s="283">
        <v>3305</v>
      </c>
      <c r="H8" s="235"/>
      <c r="I8" s="103"/>
      <c r="J8" s="236"/>
      <c r="K8" s="103"/>
      <c r="L8" s="104"/>
      <c r="M8" s="105"/>
      <c r="N8" s="104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81"/>
      <c r="C9" s="284" t="s">
        <v>22</v>
      </c>
      <c r="D9" s="285">
        <f>SUM(D7:D8)</f>
        <v>2192</v>
      </c>
      <c r="E9" s="286">
        <f>SUM(E7:E8)</f>
        <v>4417</v>
      </c>
      <c r="F9" s="287">
        <f>SUM(F7:F8)</f>
        <v>6609</v>
      </c>
      <c r="G9" s="276"/>
      <c r="H9" s="103"/>
      <c r="I9" s="103"/>
      <c r="J9" s="101"/>
      <c r="K9" s="103"/>
      <c r="L9" s="104"/>
      <c r="M9" s="105"/>
      <c r="N9" s="104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81"/>
      <c r="C10" s="25"/>
      <c r="D10" s="26"/>
      <c r="E10" s="22"/>
      <c r="F10" s="22"/>
      <c r="G10" s="104"/>
      <c r="H10" s="104"/>
      <c r="I10" s="103"/>
      <c r="J10" s="103"/>
      <c r="K10" s="103"/>
      <c r="L10" s="104"/>
      <c r="M10" s="105"/>
      <c r="N10" s="104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06" t="s">
        <v>66</v>
      </c>
      <c r="C11" s="28"/>
      <c r="D11" s="29"/>
      <c r="E11" s="2"/>
      <c r="F11" s="21"/>
      <c r="G11" s="107"/>
      <c r="H11" s="105"/>
      <c r="I11" s="107"/>
      <c r="J11" s="105"/>
      <c r="K11" s="108"/>
      <c r="L11" s="108"/>
      <c r="M11" s="107"/>
      <c r="N11" s="108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81" t="s">
        <v>61</v>
      </c>
      <c r="C12" s="28"/>
      <c r="D12" s="29"/>
      <c r="E12" s="2"/>
      <c r="F12" s="21"/>
      <c r="G12" s="107"/>
      <c r="H12" s="105"/>
      <c r="I12" s="107"/>
      <c r="J12" s="105"/>
      <c r="K12" s="109"/>
      <c r="L12" s="108"/>
      <c r="M12" s="108"/>
      <c r="N12" s="108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84" t="s">
        <v>25</v>
      </c>
      <c r="C13" s="84" t="s">
        <v>62</v>
      </c>
      <c r="D13" s="84" t="s">
        <v>67</v>
      </c>
      <c r="E13" s="84" t="s">
        <v>63</v>
      </c>
      <c r="F13" s="84" t="s">
        <v>64</v>
      </c>
      <c r="G13" s="84" t="s">
        <v>4</v>
      </c>
      <c r="H13" s="84" t="s">
        <v>68</v>
      </c>
      <c r="I13" s="84" t="s">
        <v>69</v>
      </c>
      <c r="J13" s="105"/>
      <c r="K13" s="110" t="s">
        <v>43</v>
      </c>
      <c r="L13" s="111" t="s">
        <v>0</v>
      </c>
      <c r="M13" s="111" t="s">
        <v>1</v>
      </c>
      <c r="N13" s="108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85">
        <f>LN((D7/F7)/(D8/F8))</f>
        <v>2.1274356695470658E-3</v>
      </c>
      <c r="C14" s="85">
        <f>SQRT((E7/(D7*F7)+(E8/(D8*F8))))</f>
        <v>3.4922539116131079E-2</v>
      </c>
      <c r="D14" s="112">
        <f>-NORMSINV((1-I2)/2)</f>
        <v>1.9599639845400536</v>
      </c>
      <c r="E14" s="86">
        <f>B14-(D14*C14)</f>
        <v>-6.6319483246761082E-2</v>
      </c>
      <c r="F14" s="87">
        <f>B14+(D14*C14)</f>
        <v>7.0574354585855217E-2</v>
      </c>
      <c r="G14" s="315">
        <f>(D7/F7)/(D8/F8)</f>
        <v>1.0021297002664544</v>
      </c>
      <c r="H14" s="315">
        <f>EXP(E14)</f>
        <v>0.93583183393383995</v>
      </c>
      <c r="I14" s="315">
        <f>EXP(F14)</f>
        <v>1.0731243581815701</v>
      </c>
      <c r="J14" s="105"/>
      <c r="K14" s="316">
        <f>1-G14</f>
        <v>-2.1297002664544262E-3</v>
      </c>
      <c r="L14" s="315">
        <f>1-H14</f>
        <v>6.4168166066160048E-2</v>
      </c>
      <c r="M14" s="315">
        <f>1-I14</f>
        <v>-7.3124358181570148E-2</v>
      </c>
      <c r="N14" s="113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14"/>
      <c r="C15" s="28"/>
      <c r="D15" s="28"/>
      <c r="E15" s="28"/>
      <c r="F15" s="32"/>
      <c r="G15" s="115"/>
      <c r="H15" s="105"/>
      <c r="I15" s="107"/>
      <c r="J15" s="105"/>
      <c r="K15" s="107"/>
      <c r="L15" s="107"/>
      <c r="M15" s="107"/>
      <c r="N15" s="108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80"/>
      <c r="C16" s="33"/>
      <c r="D16" s="34"/>
      <c r="E16" s="35"/>
      <c r="F16" s="36"/>
      <c r="G16" s="116"/>
      <c r="H16" s="117"/>
      <c r="I16" s="118"/>
      <c r="J16" s="118"/>
      <c r="K16" s="119"/>
      <c r="L16" s="119"/>
      <c r="M16" s="120"/>
      <c r="N16" s="120"/>
    </row>
    <row r="17" spans="2:30" ht="15.75" hidden="1" customHeight="1" x14ac:dyDescent="0.3">
      <c r="B17" s="39" t="s">
        <v>70</v>
      </c>
      <c r="C17" s="2"/>
      <c r="D17" s="121"/>
      <c r="E17" s="121"/>
      <c r="F17" s="13"/>
      <c r="G17" s="13"/>
      <c r="H17" s="122"/>
      <c r="I17" s="40"/>
      <c r="J17" s="123"/>
      <c r="K17" s="123"/>
      <c r="L17" s="4"/>
      <c r="M17" s="108"/>
      <c r="N17" s="105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3" t="s">
        <v>71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08"/>
      <c r="N18" s="105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x14ac:dyDescent="0.3">
      <c r="B19" s="124" t="s">
        <v>72</v>
      </c>
      <c r="C19" s="5" t="s">
        <v>9</v>
      </c>
      <c r="D19" s="4"/>
      <c r="E19" s="5" t="s">
        <v>73</v>
      </c>
      <c r="G19" s="5" t="s">
        <v>7</v>
      </c>
      <c r="I19" s="5" t="s">
        <v>8</v>
      </c>
      <c r="J19" s="42"/>
      <c r="K19" s="42"/>
      <c r="L19" s="42"/>
      <c r="M19" s="108"/>
      <c r="N19" s="119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84" t="s">
        <v>74</v>
      </c>
      <c r="C20" s="84" t="s">
        <v>26</v>
      </c>
      <c r="D20" s="125" t="s">
        <v>10</v>
      </c>
      <c r="E20" s="125" t="s">
        <v>9</v>
      </c>
      <c r="F20" s="125" t="s">
        <v>75</v>
      </c>
      <c r="G20" s="125" t="s">
        <v>7</v>
      </c>
      <c r="H20" s="125" t="s">
        <v>8</v>
      </c>
      <c r="I20" s="126" t="s">
        <v>5</v>
      </c>
      <c r="J20" s="125" t="s">
        <v>76</v>
      </c>
      <c r="K20" s="125" t="s">
        <v>0</v>
      </c>
      <c r="L20" s="125" t="s">
        <v>1</v>
      </c>
      <c r="M20" s="127"/>
      <c r="N20" s="128"/>
      <c r="O20" s="129" t="s">
        <v>13</v>
      </c>
      <c r="P20" s="130" t="s">
        <v>56</v>
      </c>
      <c r="Q20" s="131"/>
      <c r="R20" s="132"/>
      <c r="S20" s="133"/>
      <c r="T20" s="133"/>
      <c r="U20" s="134"/>
      <c r="W20" s="135"/>
      <c r="X20" s="129" t="s">
        <v>57</v>
      </c>
      <c r="Y20" s="130" t="s">
        <v>77</v>
      </c>
      <c r="Z20" s="89"/>
      <c r="AA20" s="89"/>
      <c r="AB20" s="89" t="s">
        <v>78</v>
      </c>
      <c r="AC20" s="89"/>
      <c r="AD20" s="79"/>
    </row>
    <row r="21" spans="2:30" ht="12.75" hidden="1" customHeight="1" x14ac:dyDescent="0.3">
      <c r="B21" s="309">
        <f>D7</f>
        <v>1097</v>
      </c>
      <c r="C21" s="308">
        <f>F7</f>
        <v>3304</v>
      </c>
      <c r="D21" s="310">
        <f>B21/C21</f>
        <v>0.33202179176755447</v>
      </c>
      <c r="E21" s="311">
        <f>2*B21+I21^2</f>
        <v>2197.8414588206942</v>
      </c>
      <c r="F21" s="311">
        <f>I21*SQRT((I21^2)+(4*B21*(1-D21)))</f>
        <v>106.18103459993628</v>
      </c>
      <c r="G21" s="312">
        <f>2*(C21+I21^2)</f>
        <v>6615.6829176413885</v>
      </c>
      <c r="H21" s="313" t="s">
        <v>11</v>
      </c>
      <c r="I21" s="112">
        <f>-NORMSINV((1-I2)/2)</f>
        <v>1.9599639845400536</v>
      </c>
      <c r="J21" s="314">
        <f>D21</f>
        <v>0.33202179176755447</v>
      </c>
      <c r="K21" s="314">
        <f>(E21-F21)/G21</f>
        <v>0.31616697025232782</v>
      </c>
      <c r="L21" s="314">
        <f>(E21+F21)/G21</f>
        <v>0.3482667658204599</v>
      </c>
      <c r="M21" s="127"/>
      <c r="N21" s="136">
        <f>F9/2</f>
        <v>3304.5</v>
      </c>
      <c r="O21" s="20" t="s">
        <v>14</v>
      </c>
      <c r="P21" s="2"/>
      <c r="Q21" s="41"/>
      <c r="R21" s="40"/>
      <c r="S21" s="42"/>
      <c r="T21" s="42"/>
      <c r="U21" s="137"/>
      <c r="W21" s="138">
        <f>ABS(D21-D22)</f>
        <v>7.0560417300075118E-4</v>
      </c>
      <c r="X21" s="20" t="s">
        <v>79</v>
      </c>
      <c r="Y21" s="2"/>
      <c r="Z21" s="20"/>
      <c r="AA21" s="20"/>
      <c r="AB21" s="20" t="s">
        <v>80</v>
      </c>
      <c r="AC21" s="20"/>
      <c r="AD21" s="139"/>
    </row>
    <row r="22" spans="2:30" ht="14.25" hidden="1" customHeight="1" x14ac:dyDescent="0.4">
      <c r="B22" s="309">
        <f>D8</f>
        <v>1095</v>
      </c>
      <c r="C22" s="308">
        <f>F8</f>
        <v>3305</v>
      </c>
      <c r="D22" s="310">
        <f>B22/C22</f>
        <v>0.33131618759455372</v>
      </c>
      <c r="E22" s="311">
        <f>2*B22+I22^2</f>
        <v>2193.8414588206942</v>
      </c>
      <c r="F22" s="311">
        <f>I22*SQRT((I22^2)+(4*B22*(1-D22)))</f>
        <v>106.14026676399442</v>
      </c>
      <c r="G22" s="312">
        <f>2*(C22+I22^2)</f>
        <v>6617.6829176413885</v>
      </c>
      <c r="H22" s="313" t="s">
        <v>11</v>
      </c>
      <c r="I22" s="112">
        <f>-NORMSINV((1-I2)/2)</f>
        <v>1.9599639845400536</v>
      </c>
      <c r="J22" s="314">
        <f>D22</f>
        <v>0.33131618759455372</v>
      </c>
      <c r="K22" s="314">
        <f>(E22-F22)/G22</f>
        <v>0.31547313735617577</v>
      </c>
      <c r="L22" s="314">
        <f>(E22+F22)/G22</f>
        <v>0.34755091082611533</v>
      </c>
      <c r="M22" s="127"/>
      <c r="N22" s="140">
        <f>J26</f>
        <v>-7.0560417300075118E-4</v>
      </c>
      <c r="O22" s="20" t="s">
        <v>15</v>
      </c>
      <c r="P22" s="20"/>
      <c r="Q22" s="20"/>
      <c r="R22" s="20"/>
      <c r="S22" s="20"/>
      <c r="T22" s="20"/>
      <c r="U22" s="91"/>
      <c r="W22" s="141">
        <f>SQRT((D23*(1-D23)/C21)+(D23*(1-D23)/C22))</f>
        <v>1.158271438603393E-2</v>
      </c>
      <c r="X22" s="43" t="s">
        <v>81</v>
      </c>
      <c r="Y22" s="20"/>
      <c r="Z22" s="20"/>
      <c r="AA22" s="20"/>
      <c r="AB22" s="20"/>
      <c r="AC22" s="20"/>
      <c r="AD22" s="139"/>
    </row>
    <row r="23" spans="2:30" ht="12.75" hidden="1" customHeight="1" x14ac:dyDescent="0.3">
      <c r="B23" s="309">
        <f>D9</f>
        <v>2192</v>
      </c>
      <c r="C23" s="308">
        <f>F9</f>
        <v>6609</v>
      </c>
      <c r="D23" s="310">
        <f>B23/C23</f>
        <v>0.33166893629898625</v>
      </c>
      <c r="E23" s="311">
        <f>2*B23+I23^2</f>
        <v>4387.8414588206942</v>
      </c>
      <c r="F23" s="311">
        <f>I23*SQRT((I23^2)+(4*B23*(1-D23)))</f>
        <v>150.08472331247182</v>
      </c>
      <c r="G23" s="312">
        <f>2*(C23+I23^2)</f>
        <v>13225.682917641388</v>
      </c>
      <c r="H23" s="313" t="s">
        <v>11</v>
      </c>
      <c r="I23" s="112">
        <f>-NORMSINV((1-I2)/2)</f>
        <v>1.9599639845400536</v>
      </c>
      <c r="J23" s="314">
        <f>D23</f>
        <v>0.33166893629898625</v>
      </c>
      <c r="K23" s="314">
        <f>(E23-F23)/G23</f>
        <v>0.32041874600332293</v>
      </c>
      <c r="L23" s="314">
        <f>(E23+F23)/G23</f>
        <v>0.34311469663922955</v>
      </c>
      <c r="M23" s="127"/>
      <c r="N23" s="142">
        <f>(B21+B22)/(C21+C22)</f>
        <v>0.33166893629898625</v>
      </c>
      <c r="O23" s="20" t="s">
        <v>6</v>
      </c>
      <c r="P23" s="2"/>
      <c r="Q23" s="41"/>
      <c r="R23" s="40"/>
      <c r="S23" s="42"/>
      <c r="T23" s="42"/>
      <c r="U23" s="139"/>
      <c r="W23" s="143">
        <f>W21/W22</f>
        <v>6.0918723322017365E-2</v>
      </c>
      <c r="X23" s="20" t="s">
        <v>42</v>
      </c>
      <c r="Y23" s="2"/>
      <c r="Z23" s="20"/>
      <c r="AA23" s="20"/>
      <c r="AB23" s="20"/>
      <c r="AC23" s="20"/>
      <c r="AD23" s="139"/>
    </row>
    <row r="24" spans="2:30" ht="15" hidden="1" customHeight="1" x14ac:dyDescent="0.3">
      <c r="B24" s="81"/>
      <c r="C24" s="144" t="s">
        <v>12</v>
      </c>
      <c r="F24" s="37"/>
      <c r="G24" s="118"/>
      <c r="H24" s="118"/>
      <c r="I24" s="118"/>
      <c r="J24" s="118"/>
      <c r="K24" s="119"/>
      <c r="L24" s="119"/>
      <c r="M24" s="127"/>
      <c r="N24" s="145">
        <f>SQRT(N21*N22^2/(2*N23*(1-N23)))-I21</f>
        <v>-1.8990452605206887</v>
      </c>
      <c r="O24" s="20" t="s">
        <v>82</v>
      </c>
      <c r="P24" s="20"/>
      <c r="Q24" s="20"/>
      <c r="R24" s="20"/>
      <c r="S24" s="20"/>
      <c r="T24" s="4"/>
      <c r="U24" s="137"/>
      <c r="W24" s="146">
        <f>NORMSDIST(-W23)</f>
        <v>0.47571196904194635</v>
      </c>
      <c r="X24" s="39" t="s">
        <v>83</v>
      </c>
      <c r="Y24" s="20"/>
      <c r="Z24" s="4"/>
      <c r="AA24" s="4"/>
      <c r="AB24" s="4"/>
      <c r="AC24" s="4"/>
      <c r="AD24" s="91"/>
    </row>
    <row r="25" spans="2:30" ht="13.5" hidden="1" customHeight="1" x14ac:dyDescent="0.3">
      <c r="B25" s="81"/>
      <c r="C25" s="144" t="s">
        <v>84</v>
      </c>
      <c r="D25" s="27"/>
      <c r="E25" s="38"/>
      <c r="F25" s="37"/>
      <c r="G25" s="118"/>
      <c r="H25" s="104"/>
      <c r="I25" s="104"/>
      <c r="J25" s="306"/>
      <c r="K25" s="306"/>
      <c r="L25" s="306"/>
      <c r="M25" s="127"/>
      <c r="N25" s="147">
        <f>NORMSDIST(N24)</f>
        <v>2.8779262669764001E-2</v>
      </c>
      <c r="O25" s="39" t="s">
        <v>16</v>
      </c>
      <c r="P25" s="44"/>
      <c r="Q25" s="20"/>
      <c r="R25" s="20"/>
      <c r="S25" s="20"/>
      <c r="T25" s="20"/>
      <c r="U25" s="139"/>
      <c r="W25" s="148">
        <f>1-W24</f>
        <v>0.52428803095805365</v>
      </c>
      <c r="X25" s="45" t="s">
        <v>85</v>
      </c>
      <c r="Y25" s="44"/>
      <c r="Z25" s="4"/>
      <c r="AA25" s="4"/>
      <c r="AB25" s="4"/>
      <c r="AC25" s="4"/>
      <c r="AD25" s="91"/>
    </row>
    <row r="26" spans="2:30" ht="15" hidden="1" customHeight="1" x14ac:dyDescent="0.35">
      <c r="F26" s="46"/>
      <c r="G26" s="104"/>
      <c r="H26" s="104"/>
      <c r="I26" s="99" t="s">
        <v>23</v>
      </c>
      <c r="J26" s="307">
        <f>D22-D21</f>
        <v>-7.0560417300075118E-4</v>
      </c>
      <c r="K26" s="307">
        <f>J26+SQRT((D22-K22)^2+(L21-D21)^2)</f>
        <v>2.1985835244438996E-2</v>
      </c>
      <c r="L26" s="307">
        <f>J26-SQRT((D21-K21)^2+(L22-D22)^2)</f>
        <v>-2.3397928947802921E-2</v>
      </c>
      <c r="M26" s="103"/>
      <c r="N26" s="149">
        <f>1-N25</f>
        <v>0.97122073733023595</v>
      </c>
      <c r="O26" s="150" t="s">
        <v>86</v>
      </c>
      <c r="P26" s="151"/>
      <c r="Q26" s="152"/>
      <c r="R26" s="151"/>
      <c r="S26" s="151"/>
      <c r="T26" s="151"/>
      <c r="U26" s="153"/>
      <c r="W26" s="154"/>
      <c r="X26" s="155"/>
      <c r="Y26" s="151"/>
      <c r="Z26" s="155"/>
      <c r="AA26" s="155"/>
      <c r="AB26" s="155"/>
      <c r="AC26" s="155"/>
      <c r="AD26" s="156"/>
    </row>
    <row r="27" spans="2:30" ht="13.5" hidden="1" customHeight="1" x14ac:dyDescent="0.3">
      <c r="F27" s="47"/>
      <c r="G27" s="104"/>
      <c r="H27" s="104"/>
      <c r="I27" s="99" t="s">
        <v>24</v>
      </c>
      <c r="J27" s="308">
        <f>1/J26</f>
        <v>-1417.225178455592</v>
      </c>
      <c r="K27" s="308">
        <f>1/K26</f>
        <v>45.483830333575149</v>
      </c>
      <c r="L27" s="308">
        <f>1/L26</f>
        <v>-42.73882539907023</v>
      </c>
      <c r="M27" s="103"/>
      <c r="N27" s="104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04"/>
      <c r="H28" s="104"/>
      <c r="K28" s="157"/>
      <c r="L28" s="157"/>
      <c r="M28" s="158"/>
      <c r="N28" s="128"/>
      <c r="O28" s="159"/>
      <c r="P28" s="159" t="s">
        <v>81</v>
      </c>
      <c r="Q28" s="160">
        <f>SQRT((D23*(1-D23)/C21)+(D23*(1-D23)/C22))</f>
        <v>1.158271438603393E-2</v>
      </c>
      <c r="R28" s="161"/>
      <c r="S28" s="161"/>
      <c r="T28" s="161"/>
      <c r="U28" s="79"/>
      <c r="V28" s="5"/>
    </row>
    <row r="29" spans="2:30" ht="31.5" hidden="1" customHeight="1" x14ac:dyDescent="0.35">
      <c r="F29" s="162"/>
      <c r="G29" s="174"/>
      <c r="H29" s="298"/>
      <c r="I29" s="299"/>
      <c r="J29" s="163"/>
      <c r="K29" s="163"/>
      <c r="L29" s="163"/>
      <c r="M29" s="104"/>
      <c r="N29" s="164" t="s">
        <v>87</v>
      </c>
      <c r="O29" s="165"/>
      <c r="P29" s="20" t="s">
        <v>88</v>
      </c>
      <c r="Q29" s="20"/>
      <c r="R29" s="41"/>
      <c r="S29" s="166" t="s">
        <v>89</v>
      </c>
      <c r="T29" s="20"/>
      <c r="U29" s="139"/>
      <c r="V29" s="5"/>
    </row>
    <row r="30" spans="2:30" s="4" customFormat="1" ht="14.25" hidden="1" customHeight="1" x14ac:dyDescent="0.4">
      <c r="F30" s="49"/>
      <c r="G30" s="300"/>
      <c r="H30" s="301"/>
      <c r="I30" s="298"/>
      <c r="J30" s="302"/>
      <c r="K30" s="302"/>
      <c r="L30" s="302"/>
      <c r="M30" s="104"/>
      <c r="N30" s="167"/>
      <c r="O30" s="72" t="s">
        <v>90</v>
      </c>
      <c r="Q30" s="168" t="s">
        <v>91</v>
      </c>
      <c r="R30" s="72" t="s">
        <v>92</v>
      </c>
      <c r="S30" s="20"/>
      <c r="T30" s="20"/>
      <c r="U30" s="91"/>
    </row>
    <row r="31" spans="2:30" s="4" customFormat="1" ht="14.25" hidden="1" customHeight="1" x14ac:dyDescent="0.4">
      <c r="F31" s="50"/>
      <c r="G31" s="300"/>
      <c r="H31" s="301"/>
      <c r="I31" s="298"/>
      <c r="J31" s="302"/>
      <c r="K31" s="302"/>
      <c r="L31" s="302"/>
      <c r="M31" s="108"/>
      <c r="N31" s="145">
        <f>ABS((J26/Q28))-I21</f>
        <v>-1.8990452612180362</v>
      </c>
      <c r="O31" s="72" t="s">
        <v>93</v>
      </c>
      <c r="P31" s="20"/>
      <c r="Q31" s="20"/>
      <c r="R31" s="40"/>
      <c r="S31" s="42"/>
      <c r="T31" s="42"/>
      <c r="U31" s="137"/>
    </row>
    <row r="32" spans="2:30" s="4" customFormat="1" ht="12.75" hidden="1" customHeight="1" x14ac:dyDescent="0.3">
      <c r="B32" s="169"/>
      <c r="C32" s="51"/>
      <c r="E32" s="30"/>
      <c r="G32" s="303"/>
      <c r="H32" s="304"/>
      <c r="I32" s="305"/>
      <c r="J32" s="302"/>
      <c r="K32" s="302"/>
      <c r="L32" s="302"/>
      <c r="M32" s="108"/>
      <c r="N32" s="147">
        <f>NORMSDIST(N31)</f>
        <v>2.8779262623923912E-2</v>
      </c>
      <c r="O32" s="43" t="s">
        <v>94</v>
      </c>
      <c r="P32" s="44"/>
      <c r="Q32" s="20"/>
      <c r="R32" s="20"/>
      <c r="S32" s="20"/>
      <c r="T32" s="20"/>
      <c r="U32" s="91"/>
    </row>
    <row r="33" spans="2:22" s="4" customFormat="1" ht="12.75" hidden="1" customHeight="1" x14ac:dyDescent="0.3">
      <c r="B33" s="169"/>
      <c r="G33" s="170"/>
      <c r="H33" s="171"/>
      <c r="I33" s="171"/>
      <c r="J33" s="175"/>
      <c r="K33" s="175"/>
      <c r="L33" s="175"/>
      <c r="M33" s="108"/>
      <c r="N33" s="149">
        <f>1-N32</f>
        <v>0.97122073737607606</v>
      </c>
      <c r="O33" s="151" t="s">
        <v>95</v>
      </c>
      <c r="P33" s="151"/>
      <c r="Q33" s="152"/>
      <c r="R33" s="172"/>
      <c r="S33" s="173"/>
      <c r="T33" s="173"/>
      <c r="U33" s="153"/>
    </row>
    <row r="34" spans="2:22" ht="15.75" hidden="1" customHeight="1" x14ac:dyDescent="0.35">
      <c r="B34" s="176" t="s">
        <v>96</v>
      </c>
      <c r="C34" s="56"/>
      <c r="D34" s="56"/>
      <c r="E34" s="56"/>
      <c r="F34" s="52"/>
      <c r="G34" s="303"/>
      <c r="H34" s="304"/>
      <c r="I34" s="305"/>
      <c r="J34" s="302"/>
      <c r="K34" s="302"/>
      <c r="L34" s="302"/>
      <c r="M34" s="104"/>
      <c r="N34" s="103"/>
      <c r="O34" s="20"/>
      <c r="P34" s="20"/>
      <c r="Q34" s="20"/>
      <c r="R34" s="20"/>
      <c r="S34" s="20"/>
      <c r="T34" s="20"/>
      <c r="U34" s="20"/>
      <c r="V34" s="20"/>
    </row>
    <row r="35" spans="2:22" s="12" customFormat="1" ht="12.75" hidden="1" customHeight="1" x14ac:dyDescent="0.3">
      <c r="B35" s="81"/>
      <c r="C35" s="57" t="s">
        <v>20</v>
      </c>
      <c r="D35" s="58" t="s">
        <v>21</v>
      </c>
      <c r="E35" s="20"/>
      <c r="F35" s="52"/>
      <c r="G35" s="177"/>
      <c r="H35" s="178"/>
      <c r="I35" s="179"/>
      <c r="J35" s="180"/>
      <c r="K35" s="180"/>
      <c r="L35" s="180"/>
      <c r="M35" s="119"/>
      <c r="N35" s="108"/>
      <c r="O35" s="4"/>
      <c r="P35" s="4"/>
      <c r="Q35" s="4"/>
      <c r="R35" s="4"/>
    </row>
    <row r="36" spans="2:22" ht="12.75" hidden="1" customHeight="1" x14ac:dyDescent="0.3">
      <c r="B36" s="181" t="s">
        <v>32</v>
      </c>
      <c r="C36" s="60" t="s">
        <v>3</v>
      </c>
      <c r="D36" s="61" t="s">
        <v>2</v>
      </c>
      <c r="E36" s="62" t="s">
        <v>22</v>
      </c>
      <c r="G36" s="104"/>
      <c r="H36" s="104"/>
      <c r="I36" s="104"/>
      <c r="J36" s="104"/>
      <c r="K36" s="104"/>
      <c r="L36" s="104"/>
      <c r="M36" s="104"/>
      <c r="N36" s="108"/>
      <c r="O36" s="4"/>
      <c r="P36" s="4"/>
      <c r="Q36" s="4"/>
      <c r="R36" s="4"/>
      <c r="U36" s="5"/>
      <c r="V36" s="5"/>
    </row>
    <row r="37" spans="2:22" ht="12.75" hidden="1" customHeight="1" x14ac:dyDescent="0.3">
      <c r="B37" s="182" t="s">
        <v>17</v>
      </c>
      <c r="C37" s="63">
        <f>F7*D9/F9</f>
        <v>1095.8341655318504</v>
      </c>
      <c r="D37" s="63">
        <f>F7*E9/F9</f>
        <v>2208.1658344681496</v>
      </c>
      <c r="E37" s="63">
        <f>F7</f>
        <v>3304</v>
      </c>
      <c r="G37" s="183"/>
      <c r="H37" s="184" t="s">
        <v>30</v>
      </c>
      <c r="I37" s="185">
        <f>CHIINV(0.05,K38)</f>
        <v>3.8414588206941236</v>
      </c>
      <c r="J37" s="104"/>
      <c r="K37" s="104"/>
      <c r="L37" s="104"/>
      <c r="M37" s="104"/>
      <c r="N37" s="108"/>
      <c r="O37" s="53"/>
      <c r="P37" s="53"/>
      <c r="Q37" s="53"/>
      <c r="R37" s="4"/>
      <c r="U37" s="5"/>
      <c r="V37" s="5"/>
    </row>
    <row r="38" spans="2:22" ht="12.75" hidden="1" customHeight="1" x14ac:dyDescent="0.3">
      <c r="B38" s="186" t="s">
        <v>18</v>
      </c>
      <c r="C38" s="63">
        <f>F8*D9/F9</f>
        <v>1096.1658344681496</v>
      </c>
      <c r="D38" s="63">
        <f>F8*E9/F9</f>
        <v>2208.8341655318504</v>
      </c>
      <c r="E38" s="63">
        <f>F8</f>
        <v>3305</v>
      </c>
      <c r="F38" s="12"/>
      <c r="G38" s="187"/>
      <c r="H38" s="187"/>
      <c r="I38" s="188"/>
      <c r="J38" s="189" t="s">
        <v>31</v>
      </c>
      <c r="K38" s="190">
        <f>(COUNT(C37:D37)-1)*(COUNT(C37:C38)-1)</f>
        <v>1</v>
      </c>
      <c r="L38" s="104"/>
      <c r="M38" s="104"/>
      <c r="N38" s="104"/>
      <c r="O38" s="53"/>
      <c r="P38" s="53"/>
      <c r="Q38" s="53"/>
      <c r="R38" s="4"/>
      <c r="U38" s="5"/>
      <c r="V38" s="5"/>
    </row>
    <row r="39" spans="2:22" ht="12.75" hidden="1" customHeight="1" x14ac:dyDescent="0.3">
      <c r="B39" s="191" t="s">
        <v>29</v>
      </c>
      <c r="C39" s="63">
        <f>SUM(C37:C38)</f>
        <v>2192</v>
      </c>
      <c r="D39" s="63">
        <f>SUM(D37:D38)</f>
        <v>4417</v>
      </c>
      <c r="E39" s="64">
        <f>SUM(E37:E38)</f>
        <v>6609</v>
      </c>
      <c r="F39" s="12"/>
      <c r="G39" s="119"/>
      <c r="H39" s="192" t="s">
        <v>33</v>
      </c>
      <c r="I39" s="76" t="s">
        <v>34</v>
      </c>
      <c r="J39" s="104"/>
      <c r="K39" s="104"/>
      <c r="L39" s="104"/>
      <c r="M39" s="104"/>
      <c r="N39" s="104"/>
      <c r="O39" s="53"/>
      <c r="P39" s="54"/>
      <c r="Q39" s="53"/>
      <c r="R39" s="4"/>
      <c r="U39" s="5"/>
      <c r="V39" s="5"/>
    </row>
    <row r="40" spans="2:22" ht="12.75" hidden="1" customHeight="1" x14ac:dyDescent="0.3">
      <c r="B40" s="191"/>
      <c r="C40" s="65"/>
      <c r="D40" s="65"/>
      <c r="E40" s="66"/>
      <c r="F40" s="12"/>
      <c r="G40" s="119"/>
      <c r="H40" s="192" t="s">
        <v>35</v>
      </c>
      <c r="I40" s="76" t="s">
        <v>36</v>
      </c>
      <c r="J40" s="104"/>
      <c r="K40" s="104"/>
      <c r="L40" s="104"/>
      <c r="M40" s="104"/>
      <c r="N40" s="104"/>
      <c r="O40" s="55"/>
      <c r="P40" s="55"/>
      <c r="Q40" s="55"/>
      <c r="R40" s="4"/>
      <c r="U40" s="5"/>
      <c r="V40" s="5"/>
    </row>
    <row r="41" spans="2:22" ht="26.25" hidden="1" customHeight="1" x14ac:dyDescent="0.3">
      <c r="B41" s="193"/>
      <c r="C41" s="329" t="s">
        <v>97</v>
      </c>
      <c r="D41" s="330"/>
      <c r="G41" s="104"/>
      <c r="H41" s="194"/>
      <c r="I41" s="104"/>
      <c r="J41" s="104"/>
      <c r="K41" s="104"/>
      <c r="L41" s="104"/>
      <c r="M41" s="104"/>
      <c r="N41" s="104"/>
      <c r="O41" s="5"/>
      <c r="P41" s="5"/>
      <c r="U41" s="5"/>
      <c r="V41" s="5"/>
    </row>
    <row r="42" spans="2:22" ht="12.75" hidden="1" customHeight="1" x14ac:dyDescent="0.3">
      <c r="B42" s="193"/>
      <c r="C42" s="67">
        <f>(D7-C37)^2/C37</f>
        <v>1.240306288922769E-3</v>
      </c>
      <c r="D42" s="67">
        <f>(E7-D37)^2/D37</f>
        <v>6.1551989706106164E-4</v>
      </c>
      <c r="F42" s="59"/>
      <c r="G42" s="195"/>
      <c r="H42" s="104"/>
      <c r="I42" s="104"/>
      <c r="J42" s="108"/>
      <c r="K42" s="108"/>
      <c r="L42" s="196"/>
      <c r="M42" s="104"/>
      <c r="N42" s="104"/>
      <c r="O42" s="5"/>
      <c r="P42" s="5"/>
      <c r="U42" s="5"/>
      <c r="V42" s="5"/>
    </row>
    <row r="43" spans="2:22" ht="12.75" hidden="1" customHeight="1" x14ac:dyDescent="0.3">
      <c r="B43" s="193"/>
      <c r="C43" s="67">
        <f>(D8-C38)^2/C38</f>
        <v>1.2399310071409466E-3</v>
      </c>
      <c r="D43" s="67">
        <f>(E8-D38)^2/D38</f>
        <v>6.1533365806043809E-4</v>
      </c>
      <c r="E43" s="16"/>
      <c r="F43" s="68" t="s">
        <v>37</v>
      </c>
      <c r="G43" s="197">
        <f>C45-I37</f>
        <v>-3.8377477298429383</v>
      </c>
      <c r="H43" s="104"/>
      <c r="I43" s="104"/>
      <c r="J43" s="108"/>
      <c r="K43" s="108"/>
      <c r="L43" s="104"/>
      <c r="M43" s="104"/>
      <c r="N43" s="104"/>
      <c r="O43" s="5"/>
      <c r="P43" s="5"/>
      <c r="U43" s="5"/>
      <c r="V43" s="5"/>
    </row>
    <row r="44" spans="2:22" ht="12.75" hidden="1" customHeight="1" x14ac:dyDescent="0.3">
      <c r="B44" s="76" t="s">
        <v>39</v>
      </c>
      <c r="D44" s="69"/>
      <c r="G44" s="83" t="s">
        <v>40</v>
      </c>
      <c r="H44" s="104"/>
      <c r="I44" s="104"/>
      <c r="J44" s="108"/>
      <c r="K44" s="108"/>
      <c r="L44" s="104"/>
      <c r="M44" s="104"/>
      <c r="N44" s="104"/>
      <c r="O44" s="5"/>
      <c r="P44" s="5"/>
      <c r="U44" s="5"/>
      <c r="V44" s="5"/>
    </row>
    <row r="45" spans="2:22" ht="13.5" hidden="1" customHeight="1" x14ac:dyDescent="0.3">
      <c r="B45" s="92" t="s">
        <v>38</v>
      </c>
      <c r="C45" s="198">
        <f>SUM(C42:D43)</f>
        <v>3.7110908511852154E-3</v>
      </c>
      <c r="D45" s="20"/>
      <c r="G45" s="83" t="s">
        <v>41</v>
      </c>
      <c r="H45" s="104"/>
      <c r="I45" s="199"/>
      <c r="J45" s="108"/>
      <c r="K45" s="108"/>
      <c r="L45" s="200"/>
      <c r="M45" s="104"/>
      <c r="N45" s="104"/>
      <c r="O45" s="5"/>
      <c r="P45" s="5"/>
      <c r="U45" s="5"/>
      <c r="V45" s="5"/>
    </row>
    <row r="46" spans="2:22" ht="12.75" hidden="1" customHeight="1" x14ac:dyDescent="0.3">
      <c r="B46" s="201" t="s">
        <v>58</v>
      </c>
      <c r="C46" s="202">
        <f>CHIDIST(C45,1)</f>
        <v>0.95142393808388803</v>
      </c>
      <c r="E46" s="20"/>
      <c r="F46" s="20"/>
      <c r="G46" s="103"/>
      <c r="H46" s="203"/>
      <c r="I46" s="103"/>
      <c r="J46" s="108"/>
      <c r="K46" s="108"/>
      <c r="L46" s="103"/>
      <c r="M46" s="104"/>
      <c r="N46" s="104"/>
      <c r="O46" s="5"/>
      <c r="P46" s="5"/>
      <c r="U46" s="5"/>
      <c r="V46" s="5"/>
    </row>
    <row r="47" spans="2:22" s="4" customFormat="1" ht="12.75" hidden="1" customHeight="1" x14ac:dyDescent="0.3">
      <c r="B47" s="114"/>
      <c r="E47" s="70"/>
      <c r="F47" s="70"/>
      <c r="G47" s="108"/>
      <c r="H47" s="108"/>
      <c r="I47" s="204"/>
      <c r="J47" s="108"/>
      <c r="K47" s="108"/>
      <c r="L47" s="108"/>
      <c r="M47" s="108"/>
      <c r="N47" s="108"/>
    </row>
    <row r="48" spans="2:22" ht="13.5" hidden="1" customHeight="1" x14ac:dyDescent="0.3">
      <c r="B48" s="81"/>
      <c r="G48" s="104"/>
      <c r="H48" s="104"/>
      <c r="I48" s="104"/>
      <c r="J48" s="108"/>
      <c r="K48" s="108"/>
      <c r="L48" s="104"/>
      <c r="M48" s="104"/>
      <c r="N48" s="104"/>
      <c r="O48" s="5"/>
      <c r="P48" s="5"/>
      <c r="U48" s="5"/>
      <c r="V48" s="5"/>
    </row>
    <row r="49" spans="2:22" ht="12.75" hidden="1" customHeight="1" x14ac:dyDescent="0.3">
      <c r="B49" s="205" t="s">
        <v>98</v>
      </c>
      <c r="C49" s="90"/>
      <c r="D49" s="90"/>
      <c r="E49" s="90"/>
      <c r="F49" s="90"/>
      <c r="G49" s="90"/>
      <c r="H49" s="206"/>
      <c r="I49" s="104"/>
      <c r="J49" s="207" t="s">
        <v>99</v>
      </c>
      <c r="K49" s="208"/>
      <c r="L49" s="209"/>
      <c r="M49" s="209"/>
      <c r="N49" s="209"/>
      <c r="O49" s="79"/>
      <c r="P49" s="5"/>
      <c r="U49" s="5"/>
      <c r="V49" s="5"/>
    </row>
    <row r="50" spans="2:22" ht="12.75" hidden="1" customHeight="1" x14ac:dyDescent="0.3">
      <c r="B50" s="210">
        <f>I2*100</f>
        <v>95</v>
      </c>
      <c r="C50" s="52"/>
      <c r="D50" s="52"/>
      <c r="E50" s="4"/>
      <c r="F50" s="4"/>
      <c r="G50" s="4"/>
      <c r="H50" s="91"/>
      <c r="I50" s="104"/>
      <c r="J50" s="211"/>
      <c r="K50" s="108"/>
      <c r="L50" s="103"/>
      <c r="M50" s="103"/>
      <c r="N50" s="103"/>
      <c r="O50" s="139"/>
      <c r="P50" s="5"/>
      <c r="U50" s="5"/>
      <c r="V50" s="5"/>
    </row>
    <row r="51" spans="2:22" ht="12.75" hidden="1" customHeight="1" x14ac:dyDescent="0.3">
      <c r="B51" s="212" t="s">
        <v>44</v>
      </c>
      <c r="C51" s="213"/>
      <c r="D51" s="213"/>
      <c r="E51" s="1">
        <f>ROUND(G14,2)</f>
        <v>1</v>
      </c>
      <c r="F51" s="48">
        <f>ROUND(J26,4)</f>
        <v>-6.9999999999999999E-4</v>
      </c>
      <c r="G51" s="214">
        <f>ROUND(J27,0)</f>
        <v>-1417</v>
      </c>
      <c r="H51" s="215"/>
      <c r="I51" s="104"/>
      <c r="J51" s="216" t="s">
        <v>44</v>
      </c>
      <c r="K51" s="4"/>
      <c r="L51" s="4"/>
      <c r="M51" s="4"/>
      <c r="N51" s="103"/>
      <c r="O51" s="139"/>
      <c r="P51" s="5"/>
      <c r="U51" s="5"/>
      <c r="V51" s="5"/>
    </row>
    <row r="52" spans="2:22" ht="12.75" hidden="1" customHeight="1" x14ac:dyDescent="0.3">
      <c r="B52" s="212" t="s">
        <v>46</v>
      </c>
      <c r="C52" s="20"/>
      <c r="D52" s="20"/>
      <c r="E52" s="1">
        <f>ROUND(H14,2)</f>
        <v>0.94</v>
      </c>
      <c r="F52" s="48">
        <f>ROUND(L26,4)</f>
        <v>-2.3400000000000001E-2</v>
      </c>
      <c r="G52" s="214">
        <f>ROUND(L27,0)</f>
        <v>-43</v>
      </c>
      <c r="H52" s="215"/>
      <c r="I52" s="104"/>
      <c r="J52" s="216" t="s">
        <v>46</v>
      </c>
      <c r="K52" s="217" t="str">
        <f>ROUND(J21,3)*100&amp;J54</f>
        <v>33,2%</v>
      </c>
      <c r="L52" s="217" t="str">
        <f>ROUND(K21,4)*100&amp;J54</f>
        <v>31,62%</v>
      </c>
      <c r="M52" s="217" t="str">
        <f>ROUND(L21,4)*100&amp;J54</f>
        <v>34,83%</v>
      </c>
      <c r="N52" s="82" t="str">
        <f>CONCATENATE(K52," ",J51,L52," ",J55," ",M52,J53)</f>
        <v>33,2% (31,62% a 34,83%)</v>
      </c>
      <c r="O52" s="139"/>
      <c r="P52" s="5"/>
      <c r="U52" s="5"/>
      <c r="V52" s="5"/>
    </row>
    <row r="53" spans="2:22" s="12" customFormat="1" ht="12.75" hidden="1" customHeight="1" x14ac:dyDescent="0.3">
      <c r="B53" s="212" t="s">
        <v>45</v>
      </c>
      <c r="C53" s="213">
        <f>ROUND(D7,0)</f>
        <v>1097</v>
      </c>
      <c r="D53" s="213">
        <f>ROUND(D8,0)</f>
        <v>1095</v>
      </c>
      <c r="E53" s="1">
        <f>ROUND(I14,2)</f>
        <v>1.07</v>
      </c>
      <c r="F53" s="48">
        <f>ROUND(K26,4)</f>
        <v>2.1999999999999999E-2</v>
      </c>
      <c r="G53" s="214">
        <f>ROUND(K27,0)</f>
        <v>45</v>
      </c>
      <c r="H53" s="218">
        <f>ROUND(N32,4)</f>
        <v>2.8799999999999999E-2</v>
      </c>
      <c r="I53" s="119"/>
      <c r="J53" s="216" t="s">
        <v>45</v>
      </c>
      <c r="K53" s="71" t="str">
        <f>ROUND(J22,3)*100&amp;J54</f>
        <v>33,1%</v>
      </c>
      <c r="L53" s="71" t="str">
        <f>ROUND(K22,4)*100&amp;J54</f>
        <v>31,55%</v>
      </c>
      <c r="M53" s="71" t="str">
        <f>ROUND(L22,4)*100&amp;J54</f>
        <v>34,76%</v>
      </c>
      <c r="N53" s="82" t="str">
        <f>CONCATENATE(K53," ",J51,L53," ",J55," ",M53,J53)</f>
        <v>33,1% (31,55% a 34,76%)</v>
      </c>
      <c r="O53" s="91"/>
    </row>
    <row r="54" spans="2:22" ht="12.75" hidden="1" customHeight="1" x14ac:dyDescent="0.3">
      <c r="B54" s="212" t="s">
        <v>47</v>
      </c>
      <c r="C54" s="219" t="s">
        <v>54</v>
      </c>
      <c r="D54" s="219" t="s">
        <v>55</v>
      </c>
      <c r="E54" s="219" t="s">
        <v>4</v>
      </c>
      <c r="F54" s="219" t="s">
        <v>50</v>
      </c>
      <c r="G54" s="220" t="s">
        <v>48</v>
      </c>
      <c r="H54" s="183" t="s">
        <v>51</v>
      </c>
      <c r="I54" s="104"/>
      <c r="J54" s="216" t="s">
        <v>47</v>
      </c>
      <c r="K54" s="71" t="str">
        <f>ROUND(J23,4)*100&amp;J54</f>
        <v>33,17%</v>
      </c>
      <c r="L54" s="71" t="str">
        <f>ROUND(K23,4)*100&amp;J54</f>
        <v>32,04%</v>
      </c>
      <c r="M54" s="71" t="str">
        <f>ROUND(L23,4)*100&amp;J54</f>
        <v>34,31%</v>
      </c>
      <c r="N54" s="82" t="str">
        <f>CONCATENATE(K54," ",J51,L54," ",J55," ",M54,J53)</f>
        <v>33,17% (32,04% a 34,31%)</v>
      </c>
      <c r="O54" s="91"/>
    </row>
    <row r="55" spans="2:22" ht="12.75" hidden="1" customHeight="1" x14ac:dyDescent="0.3">
      <c r="B55" s="221" t="s">
        <v>19</v>
      </c>
      <c r="C55" s="222" t="str">
        <f>CONCATENATE(C53,B56,C21," ",B51,K52,B53)</f>
        <v>1097/3304 (33,2%)</v>
      </c>
      <c r="D55" s="99" t="str">
        <f>CONCATENATE(D53,B56,C22," ",B51,K53,B53)</f>
        <v>1095/3305 (33,1%)</v>
      </c>
      <c r="E55" s="222" t="str">
        <f>CONCATENATE(E51," ",B51,E52,B52,E53,B53)</f>
        <v>1 (0,94-1,07)</v>
      </c>
      <c r="F55" s="222" t="str">
        <f>CONCATENATE(F51*100,B54," ",B51,F52*100,B54," ",B55," ",F53*100,B54,B53)</f>
        <v>-0,07% (-2,34% a 2,2%)</v>
      </c>
      <c r="G55" s="183" t="str">
        <f>CONCATENATE(G51," ",B51,G53," ",B55," ",G52,B53)</f>
        <v>-1417 (45 a -43)</v>
      </c>
      <c r="H55" s="183" t="str">
        <f>CONCATENATE(H53*100,B54)</f>
        <v>2,88%</v>
      </c>
      <c r="I55" s="104"/>
      <c r="J55" s="223" t="s">
        <v>19</v>
      </c>
      <c r="K55" s="20"/>
      <c r="L55" s="20"/>
      <c r="M55" s="20"/>
      <c r="N55" s="103"/>
      <c r="O55" s="139"/>
      <c r="P55" s="5"/>
      <c r="U55" s="5"/>
      <c r="V55" s="5"/>
    </row>
    <row r="56" spans="2:22" ht="13.5" hidden="1" customHeight="1" x14ac:dyDescent="0.3">
      <c r="B56" s="224" t="s">
        <v>49</v>
      </c>
      <c r="C56" s="155"/>
      <c r="D56" s="155"/>
      <c r="E56" s="155"/>
      <c r="F56" s="155"/>
      <c r="G56" s="225"/>
      <c r="H56" s="226"/>
      <c r="I56" s="104"/>
      <c r="J56" s="227" t="s">
        <v>49</v>
      </c>
      <c r="K56" s="155"/>
      <c r="L56" s="155"/>
      <c r="M56" s="155"/>
      <c r="N56" s="228"/>
      <c r="O56" s="153"/>
      <c r="P56" s="5"/>
      <c r="U56" s="5"/>
      <c r="V56" s="5"/>
    </row>
    <row r="57" spans="2:22" x14ac:dyDescent="0.3">
      <c r="B57" s="81"/>
      <c r="G57" s="104"/>
      <c r="H57" s="104"/>
      <c r="I57" s="104"/>
      <c r="J57" s="104"/>
      <c r="K57" s="104"/>
      <c r="L57" s="108"/>
      <c r="M57" s="104"/>
      <c r="N57" s="104"/>
      <c r="O57" s="5"/>
      <c r="P57" s="5"/>
      <c r="U57" s="5"/>
      <c r="V57" s="5"/>
    </row>
    <row r="58" spans="2:22" ht="27" customHeight="1" x14ac:dyDescent="0.3">
      <c r="B58" s="81"/>
      <c r="C58" s="229" t="s">
        <v>54</v>
      </c>
      <c r="D58" s="229" t="s">
        <v>55</v>
      </c>
      <c r="E58" s="230" t="str">
        <f>CONCATENATE(E54," ",B51,H2," ",B50,B54,B53)</f>
        <v>RR (IC 95%)</v>
      </c>
      <c r="F58" s="230" t="str">
        <f>CONCATENATE(F54," ",B51,H2," ",B50,B54,B53)</f>
        <v>RAR (IC 95%)</v>
      </c>
      <c r="G58" s="230" t="str">
        <f>CONCATENATE(G54," ",B51,H2," ",B50,B54,B53)</f>
        <v>NNT (IC 95%)</v>
      </c>
      <c r="H58" s="230" t="s">
        <v>52</v>
      </c>
      <c r="I58" s="231"/>
      <c r="J58" s="230" t="s">
        <v>59</v>
      </c>
      <c r="L58" s="277" t="s">
        <v>100</v>
      </c>
      <c r="M58" s="277" t="s">
        <v>101</v>
      </c>
      <c r="O58" s="5"/>
      <c r="P58" s="5"/>
      <c r="U58" s="5"/>
      <c r="V58" s="5"/>
    </row>
    <row r="59" spans="2:22" ht="21" customHeight="1" x14ac:dyDescent="0.3">
      <c r="B59" s="81"/>
      <c r="C59" s="99" t="str">
        <f t="shared" ref="C59:H59" si="0">C55</f>
        <v>1097/3304 (33,2%)</v>
      </c>
      <c r="D59" s="99" t="str">
        <f t="shared" si="0"/>
        <v>1095/3305 (33,1%)</v>
      </c>
      <c r="E59" s="99" t="str">
        <f t="shared" si="0"/>
        <v>1 (0,94-1,07)</v>
      </c>
      <c r="F59" s="99" t="str">
        <f t="shared" si="0"/>
        <v>-0,07% (-2,34% a 2,2%)</v>
      </c>
      <c r="G59" s="99" t="str">
        <f t="shared" si="0"/>
        <v>-1417 (45 a -43)</v>
      </c>
      <c r="H59" s="99" t="str">
        <f t="shared" si="0"/>
        <v>2,88%</v>
      </c>
      <c r="I59" s="232"/>
      <c r="J59" s="233">
        <f>C46</f>
        <v>0.95142393808388803</v>
      </c>
      <c r="L59" s="234">
        <f>IF((K26*L26&lt;0),J23,J21)</f>
        <v>0.33166893629898625</v>
      </c>
      <c r="M59" s="234">
        <f>IF((K26*L26&lt;0),J23,J22)</f>
        <v>0.33166893629898625</v>
      </c>
      <c r="O59" s="5"/>
      <c r="P59" s="5"/>
      <c r="U59" s="5"/>
      <c r="V59" s="5"/>
    </row>
    <row r="60" spans="2:22" x14ac:dyDescent="0.3">
      <c r="L60" s="4"/>
    </row>
    <row r="61" spans="2:22" x14ac:dyDescent="0.3">
      <c r="L61" s="4"/>
    </row>
    <row r="62" spans="2:22" x14ac:dyDescent="0.3">
      <c r="B62" s="256" t="s">
        <v>209</v>
      </c>
    </row>
    <row r="63" spans="2:22" ht="13.5" thickBot="1" x14ac:dyDescent="0.35">
      <c r="B63" s="255" t="s">
        <v>124</v>
      </c>
    </row>
    <row r="64" spans="2:22" ht="27.75" customHeight="1" thickBot="1" x14ac:dyDescent="0.35">
      <c r="B64" s="265" t="s">
        <v>125</v>
      </c>
      <c r="C64" s="253"/>
      <c r="D64" s="253"/>
      <c r="E64" s="254"/>
    </row>
    <row r="65" spans="2:6" ht="59.5" customHeight="1" thickBot="1" x14ac:dyDescent="0.35">
      <c r="B65" s="237" t="s">
        <v>144</v>
      </c>
      <c r="C65" s="288" t="s">
        <v>127</v>
      </c>
      <c r="D65" s="289" t="s">
        <v>128</v>
      </c>
      <c r="E65" s="238" t="s">
        <v>103</v>
      </c>
    </row>
    <row r="66" spans="2:6" ht="4" customHeight="1" thickBot="1" x14ac:dyDescent="0.35">
      <c r="B66" s="239"/>
      <c r="C66" s="240"/>
      <c r="D66" s="240"/>
      <c r="E66" s="240"/>
    </row>
    <row r="67" spans="2:6" ht="14" customHeight="1" x14ac:dyDescent="0.3">
      <c r="B67" s="241" t="s">
        <v>104</v>
      </c>
      <c r="C67" s="248" t="s">
        <v>129</v>
      </c>
      <c r="D67" s="248" t="s">
        <v>130</v>
      </c>
      <c r="E67" s="257">
        <v>0.76996646351450526</v>
      </c>
    </row>
    <row r="68" spans="2:6" ht="14" customHeight="1" thickBot="1" x14ac:dyDescent="0.35">
      <c r="B68" s="242" t="s">
        <v>105</v>
      </c>
      <c r="C68" s="243" t="s">
        <v>133</v>
      </c>
      <c r="D68" s="243" t="s">
        <v>165</v>
      </c>
      <c r="E68" s="259">
        <v>0.95142393808388803</v>
      </c>
    </row>
    <row r="69" spans="2:6" ht="14" customHeight="1" thickBot="1" x14ac:dyDescent="0.35">
      <c r="B69" s="246" t="s">
        <v>106</v>
      </c>
      <c r="C69" s="246"/>
      <c r="D69" s="246"/>
    </row>
    <row r="70" spans="2:6" ht="14" customHeight="1" x14ac:dyDescent="0.3">
      <c r="B70" s="247" t="s">
        <v>107</v>
      </c>
      <c r="C70" s="248" t="s">
        <v>166</v>
      </c>
      <c r="D70" s="248" t="s">
        <v>167</v>
      </c>
      <c r="E70" s="257">
        <v>0.62503736717926373</v>
      </c>
    </row>
    <row r="71" spans="2:6" ht="14" customHeight="1" x14ac:dyDescent="0.3">
      <c r="B71" s="249" t="s">
        <v>108</v>
      </c>
      <c r="C71" s="250" t="s">
        <v>168</v>
      </c>
      <c r="D71" s="250" t="s">
        <v>169</v>
      </c>
      <c r="E71" s="258">
        <v>0.90550901381459359</v>
      </c>
    </row>
    <row r="72" spans="2:6" ht="14" customHeight="1" x14ac:dyDescent="0.3">
      <c r="B72" s="249" t="s">
        <v>109</v>
      </c>
      <c r="C72" s="250" t="s">
        <v>170</v>
      </c>
      <c r="D72" s="250" t="s">
        <v>171</v>
      </c>
      <c r="E72" s="258">
        <v>0.70709872514669914</v>
      </c>
    </row>
    <row r="73" spans="2:6" ht="14" customHeight="1" thickBot="1" x14ac:dyDescent="0.35">
      <c r="B73" s="251" t="s">
        <v>110</v>
      </c>
      <c r="C73" s="243" t="s">
        <v>172</v>
      </c>
      <c r="D73" s="243" t="s">
        <v>173</v>
      </c>
      <c r="E73" s="259">
        <v>6.1601334419016995E-2</v>
      </c>
    </row>
    <row r="74" spans="2:6" ht="4.5" customHeight="1" thickBot="1" x14ac:dyDescent="0.35">
      <c r="B74" s="244"/>
      <c r="C74" s="261"/>
      <c r="D74" s="261"/>
      <c r="E74" s="262"/>
    </row>
    <row r="75" spans="2:6" ht="14" customHeight="1" x14ac:dyDescent="0.3">
      <c r="B75" s="74" t="s">
        <v>113</v>
      </c>
      <c r="C75" s="88" t="s">
        <v>136</v>
      </c>
      <c r="D75" s="88" t="s">
        <v>137</v>
      </c>
      <c r="E75" s="257">
        <v>0.50405423652824477</v>
      </c>
    </row>
    <row r="76" spans="2:6" ht="14" customHeight="1" x14ac:dyDescent="0.3">
      <c r="B76" s="245" t="s">
        <v>112</v>
      </c>
      <c r="C76" s="99" t="s">
        <v>138</v>
      </c>
      <c r="D76" s="99" t="s">
        <v>139</v>
      </c>
      <c r="E76" s="258">
        <v>1</v>
      </c>
    </row>
    <row r="77" spans="2:6" ht="14" customHeight="1" thickBot="1" x14ac:dyDescent="0.35">
      <c r="B77" s="269" t="s">
        <v>206</v>
      </c>
      <c r="C77" s="73" t="s">
        <v>140</v>
      </c>
      <c r="D77" s="73" t="s">
        <v>141</v>
      </c>
      <c r="E77" s="259">
        <v>0.54707926071028923</v>
      </c>
    </row>
    <row r="78" spans="2:6" ht="14" customHeight="1" thickBot="1" x14ac:dyDescent="0.35">
      <c r="B78" s="266" t="s">
        <v>116</v>
      </c>
      <c r="C78" s="267"/>
      <c r="D78" s="267"/>
      <c r="E78" s="267"/>
    </row>
    <row r="79" spans="2:6" ht="14" customHeight="1" x14ac:dyDescent="0.3">
      <c r="B79" s="74" t="s">
        <v>120</v>
      </c>
      <c r="C79" s="88" t="s">
        <v>131</v>
      </c>
      <c r="D79" s="88" t="s">
        <v>132</v>
      </c>
      <c r="E79" s="257"/>
      <c r="F79" s="319" t="s">
        <v>205</v>
      </c>
    </row>
    <row r="80" spans="2:6" ht="14" customHeight="1" x14ac:dyDescent="0.3">
      <c r="B80" s="273" t="s">
        <v>115</v>
      </c>
      <c r="C80" s="99" t="s">
        <v>174</v>
      </c>
      <c r="D80" s="99" t="s">
        <v>175</v>
      </c>
      <c r="E80" s="258">
        <v>0.61110900382434508</v>
      </c>
      <c r="F80" s="319" t="s">
        <v>207</v>
      </c>
    </row>
    <row r="81" spans="2:5" ht="14" customHeight="1" x14ac:dyDescent="0.3">
      <c r="B81" s="273" t="s">
        <v>114</v>
      </c>
      <c r="C81" s="99" t="s">
        <v>142</v>
      </c>
      <c r="D81" s="99" t="s">
        <v>176</v>
      </c>
      <c r="E81" s="258">
        <v>0.87323761430975888</v>
      </c>
    </row>
    <row r="82" spans="2:5" ht="14" customHeight="1" x14ac:dyDescent="0.3">
      <c r="B82" s="273" t="s">
        <v>143</v>
      </c>
      <c r="C82" s="99" t="s">
        <v>177</v>
      </c>
      <c r="D82" s="99" t="s">
        <v>178</v>
      </c>
      <c r="E82" s="258">
        <v>0.69075502061460037</v>
      </c>
    </row>
    <row r="83" spans="2:5" ht="5" customHeight="1" x14ac:dyDescent="0.3">
      <c r="B83" s="273"/>
      <c r="C83" s="99"/>
      <c r="D83" s="99"/>
      <c r="E83" s="258"/>
    </row>
    <row r="84" spans="2:5" ht="14" customHeight="1" x14ac:dyDescent="0.3">
      <c r="B84" s="275" t="s">
        <v>117</v>
      </c>
      <c r="C84" s="250" t="s">
        <v>145</v>
      </c>
      <c r="D84" s="250" t="s">
        <v>146</v>
      </c>
      <c r="E84" s="258"/>
    </row>
    <row r="85" spans="2:5" ht="14" customHeight="1" x14ac:dyDescent="0.3">
      <c r="B85" s="273" t="s">
        <v>147</v>
      </c>
      <c r="C85" s="290" t="s">
        <v>179</v>
      </c>
      <c r="D85" s="290" t="s">
        <v>180</v>
      </c>
      <c r="E85" s="291">
        <v>0.94613231274123799</v>
      </c>
    </row>
    <row r="86" spans="2:5" ht="14" customHeight="1" x14ac:dyDescent="0.3">
      <c r="B86" s="273" t="s">
        <v>153</v>
      </c>
      <c r="C86" s="290" t="s">
        <v>181</v>
      </c>
      <c r="D86" s="290" t="s">
        <v>182</v>
      </c>
      <c r="E86" s="291">
        <v>0.79051248607064173</v>
      </c>
    </row>
    <row r="87" spans="2:5" ht="14" customHeight="1" thickBot="1" x14ac:dyDescent="0.35">
      <c r="B87" s="274" t="s">
        <v>148</v>
      </c>
      <c r="C87" s="73" t="s">
        <v>183</v>
      </c>
      <c r="D87" s="73" t="s">
        <v>184</v>
      </c>
      <c r="E87" s="259">
        <v>0.85319961153119384</v>
      </c>
    </row>
    <row r="88" spans="2:5" ht="4" customHeight="1" thickBot="1" x14ac:dyDescent="0.35">
      <c r="B88" s="295"/>
      <c r="C88" s="296"/>
      <c r="D88" s="296"/>
      <c r="E88" s="297"/>
    </row>
    <row r="89" spans="2:5" ht="26.5" thickBot="1" x14ac:dyDescent="0.35">
      <c r="B89" s="292" t="s">
        <v>156</v>
      </c>
      <c r="C89" s="293" t="s">
        <v>154</v>
      </c>
      <c r="D89" s="293" t="s">
        <v>155</v>
      </c>
      <c r="E89" s="294"/>
    </row>
    <row r="90" spans="2:5" ht="14" customHeight="1" thickBot="1" x14ac:dyDescent="0.35">
      <c r="B90" s="252" t="s">
        <v>157</v>
      </c>
    </row>
    <row r="91" spans="2:5" ht="14" customHeight="1" x14ac:dyDescent="0.3">
      <c r="B91" s="260" t="s">
        <v>158</v>
      </c>
      <c r="C91" s="88" t="s">
        <v>185</v>
      </c>
      <c r="D91" s="88" t="s">
        <v>186</v>
      </c>
      <c r="E91" s="257">
        <v>0.84598722394426773</v>
      </c>
    </row>
    <row r="92" spans="2:5" ht="14" customHeight="1" x14ac:dyDescent="0.3">
      <c r="B92" s="268" t="s">
        <v>159</v>
      </c>
      <c r="C92" s="263" t="s">
        <v>177</v>
      </c>
      <c r="D92" s="263" t="s">
        <v>187</v>
      </c>
      <c r="E92" s="264">
        <v>0.32926717959999557</v>
      </c>
    </row>
    <row r="93" spans="2:5" ht="14" customHeight="1" x14ac:dyDescent="0.3">
      <c r="B93" s="268" t="s">
        <v>160</v>
      </c>
      <c r="C93" s="263" t="s">
        <v>188</v>
      </c>
      <c r="D93" s="263" t="s">
        <v>189</v>
      </c>
      <c r="E93" s="264">
        <v>0.29155908890664789</v>
      </c>
    </row>
    <row r="94" spans="2:5" ht="14" customHeight="1" x14ac:dyDescent="0.3">
      <c r="B94" s="268" t="s">
        <v>161</v>
      </c>
      <c r="C94" s="263" t="s">
        <v>190</v>
      </c>
      <c r="D94" s="263" t="s">
        <v>191</v>
      </c>
      <c r="E94" s="264">
        <v>0.20333345224911129</v>
      </c>
    </row>
    <row r="95" spans="2:5" ht="14" customHeight="1" thickBot="1" x14ac:dyDescent="0.35">
      <c r="B95" s="270" t="s">
        <v>162</v>
      </c>
      <c r="C95" s="271" t="s">
        <v>192</v>
      </c>
      <c r="D95" s="271" t="s">
        <v>163</v>
      </c>
      <c r="E95" s="272">
        <v>0.35469780462296563</v>
      </c>
    </row>
    <row r="96" spans="2:5" ht="14" customHeight="1" thickBot="1" x14ac:dyDescent="0.35">
      <c r="B96" s="252" t="s">
        <v>164</v>
      </c>
    </row>
    <row r="97" spans="2:6" ht="14" customHeight="1" x14ac:dyDescent="0.3">
      <c r="B97" s="260" t="s">
        <v>134</v>
      </c>
      <c r="C97" s="88" t="s">
        <v>193</v>
      </c>
      <c r="D97" s="88" t="s">
        <v>194</v>
      </c>
      <c r="E97" s="257">
        <v>0.91239240483960793</v>
      </c>
    </row>
    <row r="98" spans="2:6" ht="14" customHeight="1" x14ac:dyDescent="0.3">
      <c r="B98" s="268" t="s">
        <v>135</v>
      </c>
      <c r="C98" s="263" t="s">
        <v>195</v>
      </c>
      <c r="D98" s="263" t="s">
        <v>196</v>
      </c>
      <c r="E98" s="317">
        <v>3.7766382589298222E-3</v>
      </c>
      <c r="F98" s="319" t="s">
        <v>204</v>
      </c>
    </row>
    <row r="99" spans="2:6" ht="14" customHeight="1" thickBot="1" x14ac:dyDescent="0.35">
      <c r="B99" s="270" t="s">
        <v>119</v>
      </c>
      <c r="C99" s="271" t="s">
        <v>197</v>
      </c>
      <c r="D99" s="271" t="s">
        <v>198</v>
      </c>
      <c r="E99" s="272">
        <v>0.23479052780932186</v>
      </c>
    </row>
    <row r="100" spans="2:6" ht="14" customHeight="1" thickBot="1" x14ac:dyDescent="0.35">
      <c r="B100" s="252" t="s">
        <v>149</v>
      </c>
    </row>
    <row r="101" spans="2:6" ht="14" customHeight="1" x14ac:dyDescent="0.3">
      <c r="B101" s="74" t="s">
        <v>151</v>
      </c>
      <c r="C101" s="88" t="s">
        <v>199</v>
      </c>
      <c r="D101" s="88" t="s">
        <v>200</v>
      </c>
      <c r="E101" s="257">
        <v>0.22789102716973014</v>
      </c>
      <c r="F101" s="319" t="s">
        <v>208</v>
      </c>
    </row>
    <row r="102" spans="2:6" ht="14" customHeight="1" x14ac:dyDescent="0.3">
      <c r="B102" s="245" t="s">
        <v>111</v>
      </c>
      <c r="C102" s="99" t="s">
        <v>201</v>
      </c>
      <c r="D102" s="99" t="s">
        <v>202</v>
      </c>
      <c r="E102" s="318">
        <v>2.4251728268808847E-2</v>
      </c>
    </row>
    <row r="103" spans="2:6" ht="14" customHeight="1" thickBot="1" x14ac:dyDescent="0.35">
      <c r="B103" s="75" t="s">
        <v>150</v>
      </c>
      <c r="C103" s="73" t="s">
        <v>203</v>
      </c>
      <c r="D103" s="73" t="s">
        <v>152</v>
      </c>
      <c r="E103" s="259">
        <v>0.94478571979548553</v>
      </c>
    </row>
    <row r="104" spans="2:6" ht="4" customHeight="1" x14ac:dyDescent="0.3"/>
    <row r="105" spans="2:6" ht="25" customHeight="1" x14ac:dyDescent="0.3">
      <c r="B105" s="320" t="s">
        <v>118</v>
      </c>
      <c r="C105" s="321"/>
      <c r="D105" s="321"/>
      <c r="E105" s="322"/>
    </row>
  </sheetData>
  <mergeCells count="4">
    <mergeCell ref="B105:E105"/>
    <mergeCell ref="B2:F2"/>
    <mergeCell ref="B3:F3"/>
    <mergeCell ref="C41:D41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2022-11-21T12:59:48Z</dcterms:modified>
</cp:coreProperties>
</file>