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21220-MA 4ECA, ERC Glifoz vs Pl\13-Tablas M y M-nnt, MA 4ECA\"/>
    </mc:Choice>
  </mc:AlternateContent>
  <xr:revisionPtr revIDLastSave="0" documentId="13_ncr:1_{F1D00644-99A3-40F2-88BA-F51480DA84AC}" xr6:coauthVersionLast="36" xr6:coauthVersionMax="47" xr10:uidLastSave="{00000000-0000-0000-0000-000000000000}"/>
  <bookViews>
    <workbookView xWindow="-110" yWindow="-110" windowWidth="19420" windowHeight="10420" xr2:uid="{ED720975-825F-4932-9455-419E07D66D9E}"/>
  </bookViews>
  <sheets>
    <sheet name="M-1 a 9" sheetId="1" r:id="rId1"/>
    <sheet name="Mort" sheetId="4" r:id="rId2"/>
    <sheet name="MortCV" sheetId="5" r:id="rId3"/>
    <sheet name="MortRen" sheetId="8" r:id="rId4"/>
    <sheet name="FGe&gt;40%" sheetId="9" r:id="rId5"/>
    <sheet name="FGe&lt;15" sheetId="7" r:id="rId6"/>
    <sheet name="DialTra" sheetId="6" r:id="rId7"/>
    <sheet name="InsCar" sheetId="10" r:id="rId8"/>
    <sheet name="bastidor" sheetId="3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4" l="1"/>
  <c r="A8" i="6" l="1"/>
  <c r="B8" i="6"/>
  <c r="D8" i="6"/>
  <c r="E8" i="6"/>
  <c r="G8" i="6"/>
  <c r="D98" i="1" l="1"/>
  <c r="G98" i="1"/>
  <c r="D99" i="1"/>
  <c r="G99" i="1"/>
  <c r="D100" i="1"/>
  <c r="G100" i="1"/>
  <c r="K100" i="1"/>
  <c r="N100" i="1" s="1"/>
  <c r="L100" i="1" l="1"/>
  <c r="M100" i="1" s="1"/>
  <c r="O100" i="1" s="1"/>
  <c r="P100" i="1"/>
  <c r="Q100" i="1"/>
  <c r="AI100" i="1" l="1"/>
  <c r="R100" i="1"/>
  <c r="AE100" i="1"/>
  <c r="F13" i="10" l="1"/>
  <c r="E15" i="10" s="1"/>
  <c r="F16" i="10" s="1"/>
  <c r="E13" i="10"/>
  <c r="F15" i="10" s="1"/>
  <c r="E16" i="10" s="1"/>
  <c r="D13" i="10"/>
  <c r="D15" i="10" s="1"/>
  <c r="D16" i="10" s="1"/>
  <c r="F14" i="6"/>
  <c r="E16" i="6" s="1"/>
  <c r="F17" i="6" s="1"/>
  <c r="E14" i="6"/>
  <c r="F16" i="6" s="1"/>
  <c r="E17" i="6" s="1"/>
  <c r="D14" i="6"/>
  <c r="D16" i="6" s="1"/>
  <c r="D17" i="6" s="1"/>
  <c r="F14" i="7"/>
  <c r="E16" i="7" s="1"/>
  <c r="F17" i="7" s="1"/>
  <c r="E14" i="7"/>
  <c r="F16" i="7" s="1"/>
  <c r="E17" i="7" s="1"/>
  <c r="D14" i="7"/>
  <c r="D16" i="7" s="1"/>
  <c r="D17" i="7" s="1"/>
  <c r="F13" i="9"/>
  <c r="E15" i="9" s="1"/>
  <c r="F16" i="9" s="1"/>
  <c r="E13" i="9"/>
  <c r="F15" i="9" s="1"/>
  <c r="E16" i="9" s="1"/>
  <c r="D13" i="9"/>
  <c r="D15" i="9" s="1"/>
  <c r="D16" i="9" s="1"/>
  <c r="F14" i="8"/>
  <c r="E16" i="8" s="1"/>
  <c r="F17" i="8" s="1"/>
  <c r="E14" i="8"/>
  <c r="F16" i="8" s="1"/>
  <c r="E17" i="8" s="1"/>
  <c r="D14" i="8"/>
  <c r="D16" i="8" s="1"/>
  <c r="D17" i="8" s="1"/>
  <c r="F15" i="4"/>
  <c r="E17" i="4" s="1"/>
  <c r="F18" i="4" s="1"/>
  <c r="E15" i="4"/>
  <c r="F17" i="4" s="1"/>
  <c r="E18" i="4" s="1"/>
  <c r="D15" i="4"/>
  <c r="D17" i="4" s="1"/>
  <c r="D18" i="4" s="1"/>
  <c r="F6" i="10" l="1"/>
  <c r="C6" i="10"/>
  <c r="F5" i="10"/>
  <c r="C5" i="10"/>
  <c r="R33" i="10"/>
  <c r="J33" i="10"/>
  <c r="B33" i="10"/>
  <c r="R32" i="10"/>
  <c r="J32" i="10"/>
  <c r="B32" i="10"/>
  <c r="E20" i="10"/>
  <c r="E19" i="10"/>
  <c r="D19" i="10"/>
  <c r="D22" i="10" s="1"/>
  <c r="D26" i="10" s="1"/>
  <c r="E18" i="10"/>
  <c r="C19" i="10"/>
  <c r="C22" i="10" s="1"/>
  <c r="C26" i="10" s="1"/>
  <c r="G7" i="10"/>
  <c r="E7" i="10"/>
  <c r="D7" i="10"/>
  <c r="B7" i="10"/>
  <c r="A7" i="10"/>
  <c r="Q6" i="10"/>
  <c r="H33" i="10" s="1"/>
  <c r="P6" i="10"/>
  <c r="F33" i="10" s="1"/>
  <c r="O6" i="10"/>
  <c r="H6" i="10"/>
  <c r="J6" i="10" s="1"/>
  <c r="M6" i="10" s="1"/>
  <c r="I33" i="10" s="1"/>
  <c r="Q5" i="10"/>
  <c r="H32" i="10" s="1"/>
  <c r="P5" i="10"/>
  <c r="F32" i="10" s="1"/>
  <c r="O5" i="10"/>
  <c r="H5" i="10"/>
  <c r="J5" i="10" s="1"/>
  <c r="B2" i="10"/>
  <c r="B29" i="10" s="1"/>
  <c r="R33" i="9"/>
  <c r="J33" i="9"/>
  <c r="E33" i="9"/>
  <c r="B34" i="9" s="1"/>
  <c r="B33" i="9"/>
  <c r="R32" i="9"/>
  <c r="J32" i="9"/>
  <c r="E32" i="9"/>
  <c r="B32" i="9"/>
  <c r="E20" i="9"/>
  <c r="E19" i="9"/>
  <c r="D19" i="9"/>
  <c r="D22" i="9" s="1"/>
  <c r="D26" i="9" s="1"/>
  <c r="E18" i="9"/>
  <c r="G7" i="9"/>
  <c r="E7" i="9"/>
  <c r="D7" i="9"/>
  <c r="B7" i="9"/>
  <c r="A7" i="9"/>
  <c r="Q6" i="9"/>
  <c r="H33" i="9" s="1"/>
  <c r="P6" i="9"/>
  <c r="F33" i="9" s="1"/>
  <c r="O6" i="9"/>
  <c r="J6" i="9"/>
  <c r="M6" i="9" s="1"/>
  <c r="I33" i="9" s="1"/>
  <c r="I6" i="9"/>
  <c r="Q5" i="9"/>
  <c r="H32" i="9" s="1"/>
  <c r="P5" i="9"/>
  <c r="F32" i="9" s="1"/>
  <c r="O5" i="9"/>
  <c r="O7" i="9" s="1"/>
  <c r="J5" i="9"/>
  <c r="I5" i="9"/>
  <c r="L5" i="9" s="1"/>
  <c r="G32" i="9" s="1"/>
  <c r="B2" i="9"/>
  <c r="B29" i="9" s="1"/>
  <c r="E22" i="10" l="1"/>
  <c r="E26" i="10" s="1"/>
  <c r="R34" i="10"/>
  <c r="P7" i="10"/>
  <c r="F34" i="10" s="1"/>
  <c r="Q7" i="10"/>
  <c r="H34" i="10" s="1"/>
  <c r="O7" i="10"/>
  <c r="N7" i="10" s="1"/>
  <c r="J34" i="10" s="1"/>
  <c r="H38" i="10" s="1"/>
  <c r="F19" i="10"/>
  <c r="G20" i="10"/>
  <c r="J7" i="10"/>
  <c r="M7" i="10" s="1"/>
  <c r="I34" i="10" s="1"/>
  <c r="M5" i="10"/>
  <c r="I32" i="10" s="1"/>
  <c r="G19" i="10"/>
  <c r="F20" i="10"/>
  <c r="I5" i="10"/>
  <c r="E33" i="10"/>
  <c r="E32" i="10"/>
  <c r="B34" i="10" s="1"/>
  <c r="I6" i="10"/>
  <c r="N7" i="9"/>
  <c r="J34" i="9" s="1"/>
  <c r="H38" i="9" s="1"/>
  <c r="I7" i="9"/>
  <c r="L7" i="9" s="1"/>
  <c r="G34" i="9" s="1"/>
  <c r="Q7" i="9"/>
  <c r="H34" i="9" s="1"/>
  <c r="L6" i="9"/>
  <c r="G33" i="9" s="1"/>
  <c r="E22" i="9"/>
  <c r="E26" i="9" s="1"/>
  <c r="J7" i="9"/>
  <c r="M7" i="9" s="1"/>
  <c r="I34" i="9" s="1"/>
  <c r="A10" i="9" s="1"/>
  <c r="P7" i="9"/>
  <c r="F34" i="9" s="1"/>
  <c r="R34" i="9"/>
  <c r="G20" i="9"/>
  <c r="F19" i="9"/>
  <c r="G18" i="9"/>
  <c r="F18" i="9"/>
  <c r="G19" i="9"/>
  <c r="F20" i="9"/>
  <c r="M5" i="9"/>
  <c r="I32" i="9" s="1"/>
  <c r="C19" i="9"/>
  <c r="C22" i="9" s="1"/>
  <c r="C26" i="9" s="1"/>
  <c r="K6" i="9"/>
  <c r="K5" i="9"/>
  <c r="B2" i="7"/>
  <c r="B2" i="8"/>
  <c r="B30" i="8" s="1"/>
  <c r="R35" i="8"/>
  <c r="J35" i="8"/>
  <c r="E35" i="8"/>
  <c r="B35" i="8"/>
  <c r="R34" i="8"/>
  <c r="J34" i="8"/>
  <c r="E34" i="8"/>
  <c r="B36" i="8" s="1"/>
  <c r="B34" i="8"/>
  <c r="R33" i="8"/>
  <c r="R36" i="8" s="1"/>
  <c r="J33" i="8"/>
  <c r="E33" i="8"/>
  <c r="B33" i="8"/>
  <c r="E21" i="8"/>
  <c r="E20" i="8"/>
  <c r="D20" i="8"/>
  <c r="D23" i="8" s="1"/>
  <c r="D27" i="8" s="1"/>
  <c r="E19" i="8"/>
  <c r="E23" i="8" s="1"/>
  <c r="E27" i="8" s="1"/>
  <c r="G8" i="8"/>
  <c r="E8" i="8"/>
  <c r="Q8" i="8" s="1"/>
  <c r="H36" i="8" s="1"/>
  <c r="D8" i="8"/>
  <c r="B8" i="8"/>
  <c r="P8" i="8" s="1"/>
  <c r="F36" i="8" s="1"/>
  <c r="A8" i="8"/>
  <c r="Q7" i="8"/>
  <c r="H35" i="8" s="1"/>
  <c r="P7" i="8"/>
  <c r="F35" i="8" s="1"/>
  <c r="O7" i="8"/>
  <c r="M7" i="8"/>
  <c r="I35" i="8" s="1"/>
  <c r="L7" i="8"/>
  <c r="G35" i="8" s="1"/>
  <c r="J7" i="8"/>
  <c r="I7" i="8"/>
  <c r="K7" i="8" s="1"/>
  <c r="Q6" i="8"/>
  <c r="H34" i="8" s="1"/>
  <c r="P6" i="8"/>
  <c r="F34" i="8" s="1"/>
  <c r="O6" i="8"/>
  <c r="J6" i="8"/>
  <c r="M6" i="8" s="1"/>
  <c r="I34" i="8" s="1"/>
  <c r="I6" i="8"/>
  <c r="L6" i="8" s="1"/>
  <c r="G34" i="8" s="1"/>
  <c r="Q5" i="8"/>
  <c r="H33" i="8" s="1"/>
  <c r="P5" i="8"/>
  <c r="F33" i="8" s="1"/>
  <c r="O5" i="8"/>
  <c r="O8" i="8" s="1"/>
  <c r="N8" i="8" s="1"/>
  <c r="J36" i="8" s="1"/>
  <c r="H40" i="8" s="1"/>
  <c r="M5" i="8"/>
  <c r="I33" i="8" s="1"/>
  <c r="L5" i="8"/>
  <c r="G33" i="8" s="1"/>
  <c r="J5" i="8"/>
  <c r="J8" i="8" s="1"/>
  <c r="M8" i="8" s="1"/>
  <c r="I36" i="8" s="1"/>
  <c r="I5" i="8"/>
  <c r="I8" i="8" s="1"/>
  <c r="L8" i="8" s="1"/>
  <c r="G36" i="8" s="1"/>
  <c r="A10" i="10" l="1"/>
  <c r="C38" i="10"/>
  <c r="K5" i="10"/>
  <c r="L5" i="10"/>
  <c r="G32" i="10" s="1"/>
  <c r="I7" i="10"/>
  <c r="L7" i="10" s="1"/>
  <c r="G34" i="10" s="1"/>
  <c r="L6" i="10"/>
  <c r="G33" i="10" s="1"/>
  <c r="K6" i="10"/>
  <c r="F18" i="10"/>
  <c r="F22" i="10" s="1"/>
  <c r="F26" i="10" s="1"/>
  <c r="G18" i="10"/>
  <c r="G22" i="10" s="1"/>
  <c r="G26" i="10" s="1"/>
  <c r="C38" i="9"/>
  <c r="K7" i="9"/>
  <c r="H7" i="9" s="1"/>
  <c r="E34" i="9" s="1"/>
  <c r="G39" i="9" s="1"/>
  <c r="J42" i="9" s="1"/>
  <c r="F22" i="9"/>
  <c r="F26" i="9" s="1"/>
  <c r="G22" i="9"/>
  <c r="G26" i="9" s="1"/>
  <c r="C20" i="8"/>
  <c r="C23" i="8" s="1"/>
  <c r="C27" i="8" s="1"/>
  <c r="K5" i="8"/>
  <c r="G21" i="8"/>
  <c r="F20" i="8"/>
  <c r="C40" i="8"/>
  <c r="A11" i="8"/>
  <c r="F19" i="8"/>
  <c r="G19" i="8"/>
  <c r="G20" i="8"/>
  <c r="F21" i="8"/>
  <c r="K6" i="8"/>
  <c r="K8" i="8" s="1"/>
  <c r="H8" i="8" s="1"/>
  <c r="E36" i="8" s="1"/>
  <c r="K7" i="10" l="1"/>
  <c r="H7" i="10" s="1"/>
  <c r="E34" i="10" s="1"/>
  <c r="C39" i="9"/>
  <c r="A11" i="9"/>
  <c r="A24" i="9" s="1"/>
  <c r="J44" i="9"/>
  <c r="K42" i="9"/>
  <c r="K44" i="9" s="1"/>
  <c r="A12" i="8"/>
  <c r="G41" i="8"/>
  <c r="J44" i="8" s="1"/>
  <c r="C41" i="8"/>
  <c r="G23" i="8"/>
  <c r="G27" i="8" s="1"/>
  <c r="F23" i="8"/>
  <c r="F27" i="8" s="1"/>
  <c r="A25" i="8"/>
  <c r="A11" i="10" l="1"/>
  <c r="A24" i="10" s="1"/>
  <c r="G39" i="10"/>
  <c r="J42" i="10" s="1"/>
  <c r="C39" i="10"/>
  <c r="L44" i="9"/>
  <c r="J46" i="8"/>
  <c r="K44" i="8"/>
  <c r="K46" i="8" s="1"/>
  <c r="J44" i="10" l="1"/>
  <c r="K42" i="10"/>
  <c r="K44" i="10" s="1"/>
  <c r="L46" i="8"/>
  <c r="L44" i="10" l="1"/>
  <c r="H53" i="1" l="1"/>
  <c r="G53" i="1"/>
  <c r="F53" i="1"/>
  <c r="E53" i="1"/>
  <c r="D53" i="1"/>
  <c r="C53" i="1"/>
  <c r="B53" i="1"/>
  <c r="AS45" i="1"/>
  <c r="AY43" i="1"/>
  <c r="BJ43" i="1" s="1"/>
  <c r="BL43" i="1" s="1"/>
  <c r="AB43" i="1"/>
  <c r="AP45" i="1" s="1"/>
  <c r="H43" i="1"/>
  <c r="G43" i="1"/>
  <c r="F43" i="1"/>
  <c r="E43" i="1"/>
  <c r="D43" i="1"/>
  <c r="C43" i="1"/>
  <c r="B43" i="1"/>
  <c r="L42" i="1"/>
  <c r="M42" i="1" s="1"/>
  <c r="K42" i="1"/>
  <c r="N42" i="1" s="1"/>
  <c r="L41" i="1"/>
  <c r="M41" i="1" s="1"/>
  <c r="AI41" i="1" s="1"/>
  <c r="K41" i="1"/>
  <c r="N41" i="1" s="1"/>
  <c r="P41" i="1" l="1"/>
  <c r="Q41" i="1"/>
  <c r="R41" i="1"/>
  <c r="AE41" i="1"/>
  <c r="Q42" i="1"/>
  <c r="P42" i="1"/>
  <c r="O41" i="1"/>
  <c r="M43" i="1"/>
  <c r="O42" i="1"/>
  <c r="AI42" i="1"/>
  <c r="R42" i="1"/>
  <c r="AE42" i="1"/>
  <c r="BF43" i="1"/>
  <c r="BH43" i="1"/>
  <c r="BI43" i="1"/>
  <c r="BK43" i="1" s="1"/>
  <c r="BM43" i="1" s="1"/>
  <c r="AS65" i="1"/>
  <c r="AY63" i="1"/>
  <c r="BJ63" i="1" s="1"/>
  <c r="BL63" i="1" s="1"/>
  <c r="AB63" i="1"/>
  <c r="AP65" i="1" s="1"/>
  <c r="L62" i="1"/>
  <c r="M62" i="1" s="1"/>
  <c r="K62" i="1"/>
  <c r="Q62" i="1" s="1"/>
  <c r="L61" i="1"/>
  <c r="M61" i="1" s="1"/>
  <c r="K61" i="1"/>
  <c r="Q61" i="1" s="1"/>
  <c r="L60" i="1"/>
  <c r="M60" i="1" s="1"/>
  <c r="K60" i="1"/>
  <c r="Q60" i="1" s="1"/>
  <c r="R35" i="7"/>
  <c r="J35" i="7"/>
  <c r="E35" i="7"/>
  <c r="B35" i="7"/>
  <c r="R34" i="7"/>
  <c r="J34" i="7"/>
  <c r="E34" i="7"/>
  <c r="B34" i="7"/>
  <c r="R33" i="7"/>
  <c r="J33" i="7"/>
  <c r="E33" i="7"/>
  <c r="B36" i="7" s="1"/>
  <c r="B33" i="7"/>
  <c r="E21" i="7"/>
  <c r="E20" i="7"/>
  <c r="D20" i="7"/>
  <c r="D23" i="7" s="1"/>
  <c r="D27" i="7" s="1"/>
  <c r="E19" i="7"/>
  <c r="C20" i="7"/>
  <c r="C23" i="7" s="1"/>
  <c r="C27" i="7" s="1"/>
  <c r="G8" i="7"/>
  <c r="E8" i="7"/>
  <c r="Q8" i="7" s="1"/>
  <c r="H36" i="7" s="1"/>
  <c r="D8" i="7"/>
  <c r="B8" i="7"/>
  <c r="P8" i="7" s="1"/>
  <c r="F36" i="7" s="1"/>
  <c r="A8" i="7"/>
  <c r="Q7" i="7"/>
  <c r="H35" i="7" s="1"/>
  <c r="P7" i="7"/>
  <c r="F35" i="7" s="1"/>
  <c r="O7" i="7"/>
  <c r="J7" i="7"/>
  <c r="M7" i="7" s="1"/>
  <c r="I35" i="7" s="1"/>
  <c r="I7" i="7"/>
  <c r="L7" i="7" s="1"/>
  <c r="G35" i="7" s="1"/>
  <c r="Q6" i="7"/>
  <c r="H34" i="7" s="1"/>
  <c r="P6" i="7"/>
  <c r="F34" i="7" s="1"/>
  <c r="O6" i="7"/>
  <c r="J6" i="7"/>
  <c r="M6" i="7" s="1"/>
  <c r="I34" i="7" s="1"/>
  <c r="I6" i="7"/>
  <c r="K6" i="7" s="1"/>
  <c r="Q5" i="7"/>
  <c r="H33" i="7" s="1"/>
  <c r="P5" i="7"/>
  <c r="F33" i="7" s="1"/>
  <c r="O5" i="7"/>
  <c r="O8" i="7" s="1"/>
  <c r="N8" i="7" s="1"/>
  <c r="J36" i="7" s="1"/>
  <c r="H40" i="7" s="1"/>
  <c r="J5" i="7"/>
  <c r="M5" i="7" s="1"/>
  <c r="I33" i="7" s="1"/>
  <c r="I5" i="7"/>
  <c r="B30" i="7"/>
  <c r="O43" i="1" l="1"/>
  <c r="P43" i="1" s="1"/>
  <c r="Q43" i="1" s="1"/>
  <c r="N62" i="1"/>
  <c r="O62" i="1" s="1"/>
  <c r="AE43" i="1"/>
  <c r="AD43" i="1"/>
  <c r="R43" i="1"/>
  <c r="R36" i="7"/>
  <c r="R61" i="1"/>
  <c r="O61" i="1"/>
  <c r="AI61" i="1"/>
  <c r="AE61" i="1"/>
  <c r="AI62" i="1"/>
  <c r="R62" i="1"/>
  <c r="AE62" i="1"/>
  <c r="R60" i="1"/>
  <c r="AI60" i="1"/>
  <c r="AE60" i="1"/>
  <c r="M63" i="1"/>
  <c r="BF63" i="1"/>
  <c r="N61" i="1"/>
  <c r="N60" i="1"/>
  <c r="O60" i="1" s="1"/>
  <c r="P62" i="1"/>
  <c r="P61" i="1"/>
  <c r="BH63" i="1"/>
  <c r="P60" i="1"/>
  <c r="BI63" i="1"/>
  <c r="BK63" i="1" s="1"/>
  <c r="BM63" i="1" s="1"/>
  <c r="G19" i="7"/>
  <c r="E23" i="7"/>
  <c r="E27" i="7" s="1"/>
  <c r="L6" i="7"/>
  <c r="G34" i="7" s="1"/>
  <c r="I8" i="7"/>
  <c r="J8" i="7"/>
  <c r="L8" i="7"/>
  <c r="G36" i="7" s="1"/>
  <c r="G21" i="7"/>
  <c r="F20" i="7"/>
  <c r="M8" i="7"/>
  <c r="I36" i="7" s="1"/>
  <c r="G20" i="7"/>
  <c r="F21" i="7"/>
  <c r="K5" i="7"/>
  <c r="K8" i="7" s="1"/>
  <c r="H8" i="7" s="1"/>
  <c r="E36" i="7" s="1"/>
  <c r="K7" i="7"/>
  <c r="L5" i="7"/>
  <c r="G33" i="7" s="1"/>
  <c r="Z41" i="1" l="1"/>
  <c r="AA41" i="1" s="1"/>
  <c r="AA43" i="1" s="1"/>
  <c r="Z42" i="1"/>
  <c r="AA42" i="1" s="1"/>
  <c r="O63" i="1"/>
  <c r="P63" i="1" s="1"/>
  <c r="AF43" i="1"/>
  <c r="AE63" i="1"/>
  <c r="Q63" i="1"/>
  <c r="Z62" i="1"/>
  <c r="AA62" i="1" s="1"/>
  <c r="Z60" i="1"/>
  <c r="AA60" i="1" s="1"/>
  <c r="Z61" i="1"/>
  <c r="AA61" i="1" s="1"/>
  <c r="AD63" i="1"/>
  <c r="R63" i="1"/>
  <c r="G23" i="7"/>
  <c r="G27" i="7" s="1"/>
  <c r="F19" i="7"/>
  <c r="F23" i="7" s="1"/>
  <c r="F27" i="7" s="1"/>
  <c r="G41" i="7"/>
  <c r="J44" i="7" s="1"/>
  <c r="A12" i="7"/>
  <c r="C41" i="7"/>
  <c r="C40" i="7"/>
  <c r="A11" i="7"/>
  <c r="A25" i="7" s="1"/>
  <c r="AF63" i="1" l="1"/>
  <c r="AX43" i="1"/>
  <c r="AC43" i="1"/>
  <c r="AG43" i="1" s="1"/>
  <c r="AH43" i="1"/>
  <c r="AA63" i="1"/>
  <c r="J46" i="7"/>
  <c r="K44" i="7"/>
  <c r="K46" i="7" s="1"/>
  <c r="AG41" i="1" l="1"/>
  <c r="AG42" i="1"/>
  <c r="AH41" i="1"/>
  <c r="AJ41" i="1" s="1"/>
  <c r="AH42" i="1"/>
  <c r="AJ42" i="1" s="1"/>
  <c r="AX45" i="1"/>
  <c r="AY45" i="1" s="1"/>
  <c r="BC43" i="1"/>
  <c r="BD43" i="1" s="1"/>
  <c r="BG43" i="1"/>
  <c r="BE43" i="1"/>
  <c r="AZ43" i="1"/>
  <c r="BA43" i="1" s="1"/>
  <c r="BU43" i="1" s="1"/>
  <c r="BU44" i="1" s="1"/>
  <c r="BO63" i="1"/>
  <c r="AX63" i="1"/>
  <c r="AC63" i="1"/>
  <c r="AG63" i="1" s="1"/>
  <c r="BA63" i="1"/>
  <c r="BU63" i="1" s="1"/>
  <c r="BU64" i="1" s="1"/>
  <c r="AH63" i="1"/>
  <c r="L46" i="7"/>
  <c r="BN43" i="1" l="1"/>
  <c r="BO43" i="1" s="1"/>
  <c r="BP43" i="1" s="1"/>
  <c r="BS43" i="1" s="1"/>
  <c r="BV43" i="1" s="1"/>
  <c r="BV44" i="1" s="1"/>
  <c r="AO41" i="1"/>
  <c r="AP41" i="1" s="1"/>
  <c r="AL41" i="1"/>
  <c r="AM41" i="1" s="1"/>
  <c r="AL42" i="1"/>
  <c r="AM42" i="1" s="1"/>
  <c r="AO42" i="1"/>
  <c r="AP42" i="1" s="1"/>
  <c r="AJ43" i="1"/>
  <c r="AO43" i="1" s="1"/>
  <c r="AP43" i="1" s="1"/>
  <c r="AH60" i="1"/>
  <c r="AJ60" i="1" s="1"/>
  <c r="AH62" i="1"/>
  <c r="AJ62" i="1" s="1"/>
  <c r="AH61" i="1"/>
  <c r="AJ61" i="1" s="1"/>
  <c r="AG61" i="1"/>
  <c r="AG60" i="1"/>
  <c r="AG62" i="1"/>
  <c r="AX65" i="1"/>
  <c r="AY65" i="1" s="1"/>
  <c r="BG63" i="1"/>
  <c r="BE63" i="1"/>
  <c r="BN63" i="1" s="1"/>
  <c r="BC63" i="1"/>
  <c r="BD63" i="1" s="1"/>
  <c r="AZ63" i="1"/>
  <c r="BQ43" i="1" l="1"/>
  <c r="BT43" i="1" s="1"/>
  <c r="BW43" i="1" s="1"/>
  <c r="BW44" i="1" s="1"/>
  <c r="AL43" i="1"/>
  <c r="AM43" i="1" s="1"/>
  <c r="AS42" i="1"/>
  <c r="AU42" i="1" s="1"/>
  <c r="AN42" i="1"/>
  <c r="AK42" i="1"/>
  <c r="AK41" i="1"/>
  <c r="AS41" i="1"/>
  <c r="AU41" i="1" s="1"/>
  <c r="AN41" i="1"/>
  <c r="BQ63" i="1"/>
  <c r="BT63" i="1" s="1"/>
  <c r="BW63" i="1" s="1"/>
  <c r="BW64" i="1" s="1"/>
  <c r="BP63" i="1"/>
  <c r="BS63" i="1" s="1"/>
  <c r="BV63" i="1" s="1"/>
  <c r="BV64" i="1" s="1"/>
  <c r="AO61" i="1"/>
  <c r="AP61" i="1" s="1"/>
  <c r="AL61" i="1"/>
  <c r="AM61" i="1" s="1"/>
  <c r="AO62" i="1"/>
  <c r="AP62" i="1" s="1"/>
  <c r="AL62" i="1"/>
  <c r="AM62" i="1" s="1"/>
  <c r="AO60" i="1"/>
  <c r="AP60" i="1" s="1"/>
  <c r="AL60" i="1"/>
  <c r="AJ63" i="1"/>
  <c r="AO63" i="1" s="1"/>
  <c r="AP63" i="1" s="1"/>
  <c r="AK43" i="1" l="1"/>
  <c r="AU45" i="1"/>
  <c r="AT45" i="1"/>
  <c r="AS43" i="1"/>
  <c r="AU43" i="1" s="1"/>
  <c r="AN43" i="1"/>
  <c r="AM60" i="1"/>
  <c r="AL63" i="1"/>
  <c r="AM63" i="1" s="1"/>
  <c r="AK60" i="1"/>
  <c r="AK62" i="1"/>
  <c r="AS62" i="1"/>
  <c r="AU62" i="1" s="1"/>
  <c r="AN62" i="1"/>
  <c r="AK61" i="1"/>
  <c r="AS61" i="1"/>
  <c r="AU61" i="1" s="1"/>
  <c r="AN61" i="1"/>
  <c r="AU65" i="1" l="1"/>
  <c r="AT65" i="1"/>
  <c r="AS63" i="1"/>
  <c r="AU63" i="1" s="1"/>
  <c r="AN63" i="1"/>
  <c r="AK63" i="1"/>
  <c r="AN60" i="1"/>
  <c r="AS60" i="1"/>
  <c r="AU60" i="1" s="1"/>
  <c r="B2" i="6" l="1"/>
  <c r="B30" i="6" s="1"/>
  <c r="R35" i="6"/>
  <c r="J35" i="6"/>
  <c r="B35" i="6"/>
  <c r="R34" i="6"/>
  <c r="J34" i="6"/>
  <c r="E34" i="6"/>
  <c r="B34" i="6"/>
  <c r="R33" i="6"/>
  <c r="J33" i="6"/>
  <c r="B33" i="6"/>
  <c r="E21" i="6"/>
  <c r="E20" i="6"/>
  <c r="D20" i="6"/>
  <c r="D23" i="6" s="1"/>
  <c r="D27" i="6" s="1"/>
  <c r="E19" i="6"/>
  <c r="C20" i="6"/>
  <c r="C23" i="6" s="1"/>
  <c r="C27" i="6" s="1"/>
  <c r="Q8" i="6"/>
  <c r="H36" i="6" s="1"/>
  <c r="P8" i="6"/>
  <c r="F36" i="6" s="1"/>
  <c r="Q7" i="6"/>
  <c r="H35" i="6" s="1"/>
  <c r="P7" i="6"/>
  <c r="F35" i="6" s="1"/>
  <c r="O7" i="6"/>
  <c r="J7" i="6"/>
  <c r="M7" i="6" s="1"/>
  <c r="I35" i="6" s="1"/>
  <c r="Q6" i="6"/>
  <c r="H34" i="6" s="1"/>
  <c r="P6" i="6"/>
  <c r="F34" i="6" s="1"/>
  <c r="O6" i="6"/>
  <c r="J6" i="6"/>
  <c r="M6" i="6" s="1"/>
  <c r="I34" i="6" s="1"/>
  <c r="I6" i="6"/>
  <c r="L6" i="6" s="1"/>
  <c r="G34" i="6" s="1"/>
  <c r="Q5" i="6"/>
  <c r="H33" i="6" s="1"/>
  <c r="P5" i="6"/>
  <c r="F33" i="6" s="1"/>
  <c r="O5" i="6"/>
  <c r="J5" i="6"/>
  <c r="M5" i="6" s="1"/>
  <c r="I33" i="6" s="1"/>
  <c r="AS55" i="1"/>
  <c r="AY53" i="1"/>
  <c r="BJ53" i="1" s="1"/>
  <c r="BL53" i="1" s="1"/>
  <c r="AB53" i="1"/>
  <c r="AP55" i="1" s="1"/>
  <c r="L52" i="1"/>
  <c r="M52" i="1" s="1"/>
  <c r="K52" i="1"/>
  <c r="N52" i="1" s="1"/>
  <c r="L51" i="1"/>
  <c r="M51" i="1" s="1"/>
  <c r="K51" i="1"/>
  <c r="N51" i="1" s="1"/>
  <c r="L50" i="1"/>
  <c r="M50" i="1" s="1"/>
  <c r="K50" i="1"/>
  <c r="Q50" i="1" s="1"/>
  <c r="G71" i="1"/>
  <c r="D71" i="1"/>
  <c r="G70" i="1"/>
  <c r="D70" i="1"/>
  <c r="G81" i="1"/>
  <c r="D81" i="1"/>
  <c r="G80" i="1"/>
  <c r="D80" i="1"/>
  <c r="G79" i="1"/>
  <c r="D79" i="1"/>
  <c r="G90" i="1"/>
  <c r="D90" i="1"/>
  <c r="G89" i="1"/>
  <c r="D89" i="1"/>
  <c r="E33" i="6" l="1"/>
  <c r="B36" i="6" s="1"/>
  <c r="R36" i="6"/>
  <c r="G21" i="6"/>
  <c r="F20" i="6"/>
  <c r="I7" i="6"/>
  <c r="L7" i="6" s="1"/>
  <c r="G35" i="6" s="1"/>
  <c r="E35" i="6"/>
  <c r="E23" i="6"/>
  <c r="E27" i="6" s="1"/>
  <c r="I5" i="6"/>
  <c r="L5" i="6" s="1"/>
  <c r="G33" i="6" s="1"/>
  <c r="O8" i="6"/>
  <c r="N8" i="6" s="1"/>
  <c r="J36" i="6" s="1"/>
  <c r="H40" i="6" s="1"/>
  <c r="G20" i="6"/>
  <c r="F21" i="6"/>
  <c r="K6" i="6"/>
  <c r="J8" i="6"/>
  <c r="M8" i="6" s="1"/>
  <c r="I36" i="6" s="1"/>
  <c r="K5" i="6"/>
  <c r="P52" i="1"/>
  <c r="Q52" i="1"/>
  <c r="AI50" i="1"/>
  <c r="AE50" i="1"/>
  <c r="N50" i="1"/>
  <c r="O50" i="1" s="1"/>
  <c r="P51" i="1"/>
  <c r="AI51" i="1"/>
  <c r="AE51" i="1"/>
  <c r="O51" i="1"/>
  <c r="R51" i="1"/>
  <c r="M53" i="1"/>
  <c r="O52" i="1"/>
  <c r="AI52" i="1"/>
  <c r="AE52" i="1"/>
  <c r="R52" i="1"/>
  <c r="Q51" i="1"/>
  <c r="BF53" i="1"/>
  <c r="P50" i="1"/>
  <c r="R50" i="1"/>
  <c r="BH53" i="1"/>
  <c r="BI53" i="1"/>
  <c r="BK53" i="1" s="1"/>
  <c r="BM53" i="1" s="1"/>
  <c r="K7" i="6" l="1"/>
  <c r="I8" i="6"/>
  <c r="L8" i="6" s="1"/>
  <c r="G36" i="6" s="1"/>
  <c r="K8" i="6"/>
  <c r="H8" i="6" s="1"/>
  <c r="E36" i="6" s="1"/>
  <c r="C41" i="6" s="1"/>
  <c r="A11" i="6"/>
  <c r="C40" i="6"/>
  <c r="F19" i="6"/>
  <c r="F23" i="6" s="1"/>
  <c r="F27" i="6" s="1"/>
  <c r="G19" i="6"/>
  <c r="G23" i="6" s="1"/>
  <c r="G27" i="6" s="1"/>
  <c r="AE53" i="1"/>
  <c r="AD53" i="1"/>
  <c r="R53" i="1"/>
  <c r="O53" i="1"/>
  <c r="P53" i="1" s="1"/>
  <c r="A12" i="6" l="1"/>
  <c r="G41" i="6"/>
  <c r="J44" i="6" s="1"/>
  <c r="J46" i="6" s="1"/>
  <c r="A25" i="6"/>
  <c r="AF53" i="1"/>
  <c r="Q53" i="1"/>
  <c r="Z52" i="1"/>
  <c r="AA52" i="1" s="1"/>
  <c r="Z51" i="1"/>
  <c r="AA51" i="1" s="1"/>
  <c r="Z50" i="1"/>
  <c r="AA50" i="1" s="1"/>
  <c r="K44" i="6" l="1"/>
  <c r="K46" i="6" s="1"/>
  <c r="L46" i="6" s="1"/>
  <c r="AA53" i="1"/>
  <c r="AX53" i="1" l="1"/>
  <c r="AC53" i="1"/>
  <c r="AG53" i="1" s="1"/>
  <c r="AH53" i="1"/>
  <c r="AH50" i="1" l="1"/>
  <c r="AJ50" i="1" s="1"/>
  <c r="AH51" i="1"/>
  <c r="AJ51" i="1" s="1"/>
  <c r="AH52" i="1"/>
  <c r="AJ52" i="1" s="1"/>
  <c r="AG50" i="1"/>
  <c r="AG51" i="1"/>
  <c r="AG52" i="1"/>
  <c r="AX55" i="1"/>
  <c r="AY55" i="1" s="1"/>
  <c r="AZ53" i="1"/>
  <c r="BA53" i="1" s="1"/>
  <c r="BU53" i="1" s="1"/>
  <c r="BU54" i="1" s="1"/>
  <c r="BG53" i="1"/>
  <c r="BE53" i="1"/>
  <c r="BC53" i="1"/>
  <c r="BD53" i="1" s="1"/>
  <c r="BN53" i="1" l="1"/>
  <c r="BO53" i="1" s="1"/>
  <c r="BP53" i="1" s="1"/>
  <c r="BS53" i="1" s="1"/>
  <c r="BV53" i="1" s="1"/>
  <c r="BV54" i="1" s="1"/>
  <c r="AL52" i="1"/>
  <c r="AM52" i="1" s="1"/>
  <c r="AO52" i="1"/>
  <c r="AP52" i="1" s="1"/>
  <c r="AL51" i="1"/>
  <c r="AM51" i="1" s="1"/>
  <c r="AO51" i="1"/>
  <c r="AP51" i="1" s="1"/>
  <c r="AO50" i="1"/>
  <c r="AP50" i="1" s="1"/>
  <c r="AJ53" i="1"/>
  <c r="AO53" i="1" s="1"/>
  <c r="AP53" i="1" s="1"/>
  <c r="AL50" i="1"/>
  <c r="BQ53" i="1" l="1"/>
  <c r="BT53" i="1" s="1"/>
  <c r="BW53" i="1" s="1"/>
  <c r="BW54" i="1" s="1"/>
  <c r="AL53" i="1"/>
  <c r="AM53" i="1" s="1"/>
  <c r="AM50" i="1"/>
  <c r="AS51" i="1"/>
  <c r="AU51" i="1" s="1"/>
  <c r="AN51" i="1"/>
  <c r="AK50" i="1"/>
  <c r="AK51" i="1"/>
  <c r="AS52" i="1"/>
  <c r="AU52" i="1" s="1"/>
  <c r="AN52" i="1"/>
  <c r="AK52" i="1"/>
  <c r="AK53" i="1" l="1"/>
  <c r="AS50" i="1"/>
  <c r="AU50" i="1" s="1"/>
  <c r="AN50" i="1"/>
  <c r="AU55" i="1"/>
  <c r="AT55" i="1"/>
  <c r="AS53" i="1"/>
  <c r="AU53" i="1" s="1"/>
  <c r="AN53" i="1"/>
  <c r="R37" i="5" l="1"/>
  <c r="J37" i="5"/>
  <c r="E37" i="5"/>
  <c r="B37" i="5"/>
  <c r="R36" i="5"/>
  <c r="J36" i="5"/>
  <c r="B36" i="5"/>
  <c r="R35" i="5"/>
  <c r="J35" i="5"/>
  <c r="E35" i="5"/>
  <c r="B35" i="5"/>
  <c r="R34" i="5"/>
  <c r="J34" i="5"/>
  <c r="B34" i="5"/>
  <c r="E22" i="5"/>
  <c r="E21" i="5"/>
  <c r="D21" i="5"/>
  <c r="D24" i="5" s="1"/>
  <c r="D28" i="5" s="1"/>
  <c r="E20" i="5"/>
  <c r="D17" i="5"/>
  <c r="F20" i="5" s="1"/>
  <c r="F15" i="5"/>
  <c r="E17" i="5" s="1"/>
  <c r="E15" i="5"/>
  <c r="F17" i="5" s="1"/>
  <c r="D15" i="5"/>
  <c r="C21" i="5" s="1"/>
  <c r="C24" i="5" s="1"/>
  <c r="C28" i="5" s="1"/>
  <c r="G9" i="5"/>
  <c r="E9" i="5"/>
  <c r="Q9" i="5" s="1"/>
  <c r="H38" i="5" s="1"/>
  <c r="D9" i="5"/>
  <c r="B9" i="5"/>
  <c r="P9" i="5" s="1"/>
  <c r="F38" i="5" s="1"/>
  <c r="A9" i="5"/>
  <c r="Q8" i="5"/>
  <c r="H37" i="5" s="1"/>
  <c r="P8" i="5"/>
  <c r="F37" i="5" s="1"/>
  <c r="O8" i="5"/>
  <c r="J8" i="5"/>
  <c r="M8" i="5" s="1"/>
  <c r="I37" i="5" s="1"/>
  <c r="I8" i="5"/>
  <c r="L8" i="5" s="1"/>
  <c r="G37" i="5" s="1"/>
  <c r="Q7" i="5"/>
  <c r="H36" i="5" s="1"/>
  <c r="P7" i="5"/>
  <c r="F36" i="5" s="1"/>
  <c r="O7" i="5"/>
  <c r="H7" i="5"/>
  <c r="J7" i="5" s="1"/>
  <c r="M7" i="5" s="1"/>
  <c r="I36" i="5" s="1"/>
  <c r="Q6" i="5"/>
  <c r="H35" i="5" s="1"/>
  <c r="P6" i="5"/>
  <c r="F35" i="5" s="1"/>
  <c r="O6" i="5"/>
  <c r="J6" i="5"/>
  <c r="M6" i="5" s="1"/>
  <c r="I35" i="5" s="1"/>
  <c r="I6" i="5"/>
  <c r="L6" i="5" s="1"/>
  <c r="G35" i="5" s="1"/>
  <c r="Q5" i="5"/>
  <c r="H34" i="5" s="1"/>
  <c r="P5" i="5"/>
  <c r="F34" i="5" s="1"/>
  <c r="O5" i="5"/>
  <c r="O9" i="5" s="1"/>
  <c r="N9" i="5" s="1"/>
  <c r="J38" i="5" s="1"/>
  <c r="H42" i="5" s="1"/>
  <c r="H5" i="5"/>
  <c r="I5" i="5" s="1"/>
  <c r="B2" i="5"/>
  <c r="B31" i="5" s="1"/>
  <c r="R37" i="4"/>
  <c r="J37" i="4"/>
  <c r="E37" i="4"/>
  <c r="B37" i="4"/>
  <c r="R36" i="4"/>
  <c r="J36" i="4"/>
  <c r="E36" i="4"/>
  <c r="B36" i="4"/>
  <c r="R35" i="4"/>
  <c r="J35" i="4"/>
  <c r="E35" i="4"/>
  <c r="B35" i="4"/>
  <c r="R34" i="4"/>
  <c r="J34" i="4"/>
  <c r="B34" i="4"/>
  <c r="E22" i="4"/>
  <c r="E21" i="4"/>
  <c r="D21" i="4"/>
  <c r="D24" i="4" s="1"/>
  <c r="D28" i="4" s="1"/>
  <c r="E20" i="4"/>
  <c r="C21" i="4"/>
  <c r="C24" i="4" s="1"/>
  <c r="C28" i="4" s="1"/>
  <c r="G9" i="4"/>
  <c r="E9" i="4"/>
  <c r="Q9" i="4" s="1"/>
  <c r="H38" i="4" s="1"/>
  <c r="D9" i="4"/>
  <c r="B9" i="4"/>
  <c r="P9" i="4" s="1"/>
  <c r="F38" i="4" s="1"/>
  <c r="A9" i="4"/>
  <c r="Q8" i="4"/>
  <c r="H37" i="4" s="1"/>
  <c r="P8" i="4"/>
  <c r="F37" i="4" s="1"/>
  <c r="O8" i="4"/>
  <c r="J8" i="4"/>
  <c r="M8" i="4" s="1"/>
  <c r="I37" i="4" s="1"/>
  <c r="I8" i="4"/>
  <c r="L8" i="4" s="1"/>
  <c r="G37" i="4" s="1"/>
  <c r="Q7" i="4"/>
  <c r="H36" i="4" s="1"/>
  <c r="P7" i="4"/>
  <c r="F36" i="4" s="1"/>
  <c r="O7" i="4"/>
  <c r="J7" i="4"/>
  <c r="M7" i="4" s="1"/>
  <c r="I36" i="4" s="1"/>
  <c r="Q6" i="4"/>
  <c r="H35" i="4" s="1"/>
  <c r="P6" i="4"/>
  <c r="F35" i="4" s="1"/>
  <c r="O6" i="4"/>
  <c r="J6" i="4"/>
  <c r="M6" i="4" s="1"/>
  <c r="I35" i="4" s="1"/>
  <c r="I6" i="4"/>
  <c r="L6" i="4" s="1"/>
  <c r="G35" i="4" s="1"/>
  <c r="Q5" i="4"/>
  <c r="H34" i="4" s="1"/>
  <c r="P5" i="4"/>
  <c r="F34" i="4" s="1"/>
  <c r="O5" i="4"/>
  <c r="J5" i="4"/>
  <c r="B2" i="4"/>
  <c r="B31" i="4" s="1"/>
  <c r="E24" i="4" l="1"/>
  <c r="E28" i="4" s="1"/>
  <c r="E34" i="4"/>
  <c r="B38" i="4" s="1"/>
  <c r="O9" i="4"/>
  <c r="N9" i="4" s="1"/>
  <c r="J38" i="4" s="1"/>
  <c r="H42" i="4" s="1"/>
  <c r="I7" i="4"/>
  <c r="K7" i="4" s="1"/>
  <c r="E24" i="5"/>
  <c r="E28" i="5" s="1"/>
  <c r="R38" i="4"/>
  <c r="R38" i="5"/>
  <c r="I9" i="5"/>
  <c r="L5" i="5"/>
  <c r="G34" i="5" s="1"/>
  <c r="E18" i="5"/>
  <c r="G21" i="5" s="1"/>
  <c r="F22" i="5"/>
  <c r="F21" i="5"/>
  <c r="F18" i="5"/>
  <c r="G22" i="5" s="1"/>
  <c r="E34" i="5"/>
  <c r="B38" i="5" s="1"/>
  <c r="E36" i="5"/>
  <c r="D18" i="5"/>
  <c r="G20" i="5" s="1"/>
  <c r="L9" i="5"/>
  <c r="G38" i="5" s="1"/>
  <c r="K6" i="5"/>
  <c r="K8" i="5"/>
  <c r="J5" i="5"/>
  <c r="I7" i="5"/>
  <c r="M5" i="4"/>
  <c r="I34" i="4" s="1"/>
  <c r="J9" i="4"/>
  <c r="M9" i="4" s="1"/>
  <c r="I38" i="4" s="1"/>
  <c r="G21" i="4"/>
  <c r="F22" i="4"/>
  <c r="F21" i="4"/>
  <c r="G22" i="4"/>
  <c r="K6" i="4"/>
  <c r="L7" i="4"/>
  <c r="G36" i="4" s="1"/>
  <c r="K8" i="4"/>
  <c r="I5" i="4"/>
  <c r="G12" i="1"/>
  <c r="D12" i="1"/>
  <c r="G11" i="1"/>
  <c r="D11" i="1"/>
  <c r="G10" i="1"/>
  <c r="D10" i="1"/>
  <c r="G9" i="1"/>
  <c r="D9" i="1"/>
  <c r="G24" i="5" l="1"/>
  <c r="G28" i="5" s="1"/>
  <c r="F24" i="5"/>
  <c r="F28" i="5" s="1"/>
  <c r="J9" i="5"/>
  <c r="M9" i="5" s="1"/>
  <c r="I38" i="5" s="1"/>
  <c r="M5" i="5"/>
  <c r="I34" i="5" s="1"/>
  <c r="L7" i="5"/>
  <c r="G36" i="5" s="1"/>
  <c r="K7" i="5"/>
  <c r="K5" i="5"/>
  <c r="K9" i="5" s="1"/>
  <c r="H9" i="5" s="1"/>
  <c r="E38" i="5" s="1"/>
  <c r="K5" i="4"/>
  <c r="K9" i="4" s="1"/>
  <c r="H9" i="4" s="1"/>
  <c r="L5" i="4"/>
  <c r="G34" i="4" s="1"/>
  <c r="I9" i="4"/>
  <c r="L9" i="4" s="1"/>
  <c r="G38" i="4" s="1"/>
  <c r="F20" i="4"/>
  <c r="F24" i="4" s="1"/>
  <c r="F28" i="4" s="1"/>
  <c r="G20" i="4"/>
  <c r="G24" i="4" s="1"/>
  <c r="G28" i="4" s="1"/>
  <c r="C42" i="4"/>
  <c r="E38" i="4" l="1"/>
  <c r="C43" i="4" s="1"/>
  <c r="A13" i="5"/>
  <c r="G43" i="5"/>
  <c r="J46" i="5" s="1"/>
  <c r="A12" i="5"/>
  <c r="A26" i="5" s="1"/>
  <c r="C43" i="5"/>
  <c r="C42" i="5"/>
  <c r="A13" i="4"/>
  <c r="A26" i="4" s="1"/>
  <c r="G43" i="4"/>
  <c r="J46" i="4" s="1"/>
  <c r="J48" i="5" l="1"/>
  <c r="K46" i="5"/>
  <c r="K48" i="5" s="1"/>
  <c r="J48" i="4"/>
  <c r="K46" i="4"/>
  <c r="K48" i="4" s="1"/>
  <c r="L48" i="4" l="1"/>
  <c r="L48" i="5"/>
  <c r="H21" i="3" l="1"/>
  <c r="H20" i="3"/>
  <c r="C13" i="3"/>
  <c r="E7" i="3"/>
  <c r="D40" i="3" s="1"/>
  <c r="C7" i="3"/>
  <c r="C54" i="3" s="1"/>
  <c r="E6" i="3"/>
  <c r="C6" i="3"/>
  <c r="AS203" i="1"/>
  <c r="AY201" i="1"/>
  <c r="BJ201" i="1" s="1"/>
  <c r="BL201" i="1" s="1"/>
  <c r="AB201" i="1"/>
  <c r="AP203" i="1" s="1"/>
  <c r="H201" i="1"/>
  <c r="F201" i="1"/>
  <c r="E201" i="1"/>
  <c r="C201" i="1"/>
  <c r="K200" i="1"/>
  <c r="N200" i="1" s="1"/>
  <c r="G200" i="1"/>
  <c r="D200" i="1"/>
  <c r="K199" i="1"/>
  <c r="N199" i="1" s="1"/>
  <c r="G199" i="1"/>
  <c r="D199" i="1"/>
  <c r="AS194" i="1"/>
  <c r="AY192" i="1"/>
  <c r="BF192" i="1" s="1"/>
  <c r="AB192" i="1"/>
  <c r="AP194" i="1" s="1"/>
  <c r="H192" i="1"/>
  <c r="F192" i="1"/>
  <c r="E192" i="1"/>
  <c r="C192" i="1"/>
  <c r="K191" i="1"/>
  <c r="N191" i="1" s="1"/>
  <c r="G191" i="1"/>
  <c r="D191" i="1"/>
  <c r="K190" i="1"/>
  <c r="Q190" i="1" s="1"/>
  <c r="G190" i="1"/>
  <c r="D190" i="1"/>
  <c r="K189" i="1"/>
  <c r="N189" i="1" s="1"/>
  <c r="G189" i="1"/>
  <c r="D189" i="1"/>
  <c r="AS184" i="1"/>
  <c r="AY182" i="1"/>
  <c r="AB182" i="1"/>
  <c r="AP184" i="1" s="1"/>
  <c r="H182" i="1"/>
  <c r="F182" i="1"/>
  <c r="E182" i="1"/>
  <c r="C182" i="1"/>
  <c r="K181" i="1"/>
  <c r="N181" i="1" s="1"/>
  <c r="G181" i="1"/>
  <c r="D181" i="1"/>
  <c r="K180" i="1"/>
  <c r="P180" i="1" s="1"/>
  <c r="G180" i="1"/>
  <c r="D180" i="1"/>
  <c r="K179" i="1"/>
  <c r="P179" i="1" s="1"/>
  <c r="Q179" i="1" s="1"/>
  <c r="G179" i="1"/>
  <c r="D179" i="1"/>
  <c r="K178" i="1"/>
  <c r="P178" i="1" s="1"/>
  <c r="Q178" i="1" s="1"/>
  <c r="G178" i="1"/>
  <c r="D178" i="1"/>
  <c r="AS173" i="1"/>
  <c r="AY171" i="1"/>
  <c r="BJ171" i="1" s="1"/>
  <c r="BL171" i="1" s="1"/>
  <c r="AB171" i="1"/>
  <c r="AP173" i="1" s="1"/>
  <c r="H171" i="1"/>
  <c r="F171" i="1"/>
  <c r="E171" i="1"/>
  <c r="C171" i="1"/>
  <c r="K170" i="1"/>
  <c r="G170" i="1"/>
  <c r="D170" i="1"/>
  <c r="K169" i="1"/>
  <c r="P169" i="1" s="1"/>
  <c r="G169" i="1"/>
  <c r="D169" i="1"/>
  <c r="K168" i="1"/>
  <c r="P168" i="1" s="1"/>
  <c r="G168" i="1"/>
  <c r="D168" i="1"/>
  <c r="K167" i="1"/>
  <c r="N167" i="1" s="1"/>
  <c r="G167" i="1"/>
  <c r="D167" i="1"/>
  <c r="K166" i="1"/>
  <c r="N166" i="1" s="1"/>
  <c r="G166" i="1"/>
  <c r="D166" i="1"/>
  <c r="AS161" i="1"/>
  <c r="AY159" i="1"/>
  <c r="BI159" i="1" s="1"/>
  <c r="BK159" i="1" s="1"/>
  <c r="AB159" i="1"/>
  <c r="AP161" i="1" s="1"/>
  <c r="H159" i="1"/>
  <c r="F159" i="1"/>
  <c r="E159" i="1"/>
  <c r="C159" i="1"/>
  <c r="K158" i="1"/>
  <c r="N158" i="1" s="1"/>
  <c r="G158" i="1"/>
  <c r="D158" i="1"/>
  <c r="K157" i="1"/>
  <c r="P157" i="1" s="1"/>
  <c r="G157" i="1"/>
  <c r="D157" i="1"/>
  <c r="K156" i="1"/>
  <c r="N156" i="1" s="1"/>
  <c r="G156" i="1"/>
  <c r="D156" i="1"/>
  <c r="K155" i="1"/>
  <c r="Q155" i="1" s="1"/>
  <c r="G155" i="1"/>
  <c r="D155" i="1"/>
  <c r="K154" i="1"/>
  <c r="P154" i="1" s="1"/>
  <c r="G154" i="1"/>
  <c r="D154" i="1"/>
  <c r="K153" i="1"/>
  <c r="G153" i="1"/>
  <c r="D153" i="1"/>
  <c r="AS148" i="1"/>
  <c r="AY146" i="1"/>
  <c r="BI146" i="1" s="1"/>
  <c r="BK146" i="1" s="1"/>
  <c r="AB146" i="1"/>
  <c r="AP148" i="1" s="1"/>
  <c r="H146" i="1"/>
  <c r="F146" i="1"/>
  <c r="E146" i="1"/>
  <c r="C146" i="1"/>
  <c r="K145" i="1"/>
  <c r="P145" i="1" s="1"/>
  <c r="G145" i="1"/>
  <c r="D145" i="1"/>
  <c r="K144" i="1"/>
  <c r="Q144" i="1" s="1"/>
  <c r="G144" i="1"/>
  <c r="D144" i="1"/>
  <c r="K143" i="1"/>
  <c r="G143" i="1"/>
  <c r="D143" i="1"/>
  <c r="K142" i="1"/>
  <c r="N142" i="1" s="1"/>
  <c r="G142" i="1"/>
  <c r="D142" i="1"/>
  <c r="K141" i="1"/>
  <c r="N141" i="1" s="1"/>
  <c r="G141" i="1"/>
  <c r="D141" i="1"/>
  <c r="K140" i="1"/>
  <c r="P140" i="1" s="1"/>
  <c r="G140" i="1"/>
  <c r="D140" i="1"/>
  <c r="K139" i="1"/>
  <c r="G139" i="1"/>
  <c r="D139" i="1"/>
  <c r="AS134" i="1"/>
  <c r="AY132" i="1"/>
  <c r="BH132" i="1" s="1"/>
  <c r="AB132" i="1"/>
  <c r="AP134" i="1" s="1"/>
  <c r="H132" i="1"/>
  <c r="F132" i="1"/>
  <c r="E132" i="1"/>
  <c r="C132" i="1"/>
  <c r="K131" i="1"/>
  <c r="Q131" i="1" s="1"/>
  <c r="G131" i="1"/>
  <c r="D131" i="1"/>
  <c r="K130" i="1"/>
  <c r="N130" i="1" s="1"/>
  <c r="G130" i="1"/>
  <c r="D130" i="1"/>
  <c r="K129" i="1"/>
  <c r="G129" i="1"/>
  <c r="D129" i="1"/>
  <c r="K128" i="1"/>
  <c r="Q128" i="1" s="1"/>
  <c r="G128" i="1"/>
  <c r="D128" i="1"/>
  <c r="K127" i="1"/>
  <c r="Q127" i="1" s="1"/>
  <c r="G127" i="1"/>
  <c r="D127" i="1"/>
  <c r="K126" i="1"/>
  <c r="N126" i="1" s="1"/>
  <c r="G126" i="1"/>
  <c r="D126" i="1"/>
  <c r="K125" i="1"/>
  <c r="Q125" i="1" s="1"/>
  <c r="G125" i="1"/>
  <c r="D125" i="1"/>
  <c r="K124" i="1"/>
  <c r="Q124" i="1" s="1"/>
  <c r="G124" i="1"/>
  <c r="D124" i="1"/>
  <c r="AS119" i="1"/>
  <c r="AY117" i="1"/>
  <c r="BH117" i="1" s="1"/>
  <c r="AB117" i="1"/>
  <c r="AP119" i="1" s="1"/>
  <c r="H117" i="1"/>
  <c r="F117" i="1"/>
  <c r="E117" i="1"/>
  <c r="C117" i="1"/>
  <c r="K116" i="1"/>
  <c r="G116" i="1"/>
  <c r="D116" i="1"/>
  <c r="K115" i="1"/>
  <c r="P115" i="1" s="1"/>
  <c r="G115" i="1"/>
  <c r="D115" i="1"/>
  <c r="K114" i="1"/>
  <c r="Q114" i="1" s="1"/>
  <c r="G114" i="1"/>
  <c r="D114" i="1"/>
  <c r="K113" i="1"/>
  <c r="Q113" i="1" s="1"/>
  <c r="G113" i="1"/>
  <c r="D113" i="1"/>
  <c r="K112" i="1"/>
  <c r="G112" i="1"/>
  <c r="D112" i="1"/>
  <c r="K111" i="1"/>
  <c r="Q111" i="1" s="1"/>
  <c r="G111" i="1"/>
  <c r="D111" i="1"/>
  <c r="K110" i="1"/>
  <c r="P110" i="1" s="1"/>
  <c r="G110" i="1"/>
  <c r="D110" i="1"/>
  <c r="K109" i="1"/>
  <c r="N109" i="1" s="1"/>
  <c r="G109" i="1"/>
  <c r="D109" i="1"/>
  <c r="K108" i="1"/>
  <c r="P108" i="1" s="1"/>
  <c r="G108" i="1"/>
  <c r="D108" i="1"/>
  <c r="AS103" i="1"/>
  <c r="AY101" i="1"/>
  <c r="BF101" i="1" s="1"/>
  <c r="AB101" i="1"/>
  <c r="AP103" i="1" s="1"/>
  <c r="H101" i="1"/>
  <c r="F101" i="1"/>
  <c r="E101" i="1"/>
  <c r="C101" i="1"/>
  <c r="K99" i="1"/>
  <c r="P99" i="1" s="1"/>
  <c r="K98" i="1"/>
  <c r="P98" i="1" s="1"/>
  <c r="AS93" i="1"/>
  <c r="AY91" i="1"/>
  <c r="AB91" i="1"/>
  <c r="AP93" i="1" s="1"/>
  <c r="H91" i="1"/>
  <c r="F91" i="1"/>
  <c r="E91" i="1"/>
  <c r="C91" i="1"/>
  <c r="K90" i="1"/>
  <c r="N90" i="1" s="1"/>
  <c r="L90" i="1"/>
  <c r="M90" i="1" s="1"/>
  <c r="K89" i="1"/>
  <c r="N89" i="1" s="1"/>
  <c r="L89" i="1"/>
  <c r="M89" i="1" s="1"/>
  <c r="AS84" i="1"/>
  <c r="AY82" i="1"/>
  <c r="BJ82" i="1" s="1"/>
  <c r="BL82" i="1" s="1"/>
  <c r="AB82" i="1"/>
  <c r="AP84" i="1" s="1"/>
  <c r="H82" i="1"/>
  <c r="F82" i="1"/>
  <c r="E82" i="1"/>
  <c r="C82" i="1"/>
  <c r="K81" i="1"/>
  <c r="Q81" i="1" s="1"/>
  <c r="L81" i="1"/>
  <c r="M81" i="1" s="1"/>
  <c r="K80" i="1"/>
  <c r="N80" i="1" s="1"/>
  <c r="K79" i="1"/>
  <c r="P79" i="1" s="1"/>
  <c r="AS74" i="1"/>
  <c r="AY72" i="1"/>
  <c r="BF72" i="1" s="1"/>
  <c r="AB72" i="1"/>
  <c r="AP74" i="1" s="1"/>
  <c r="H72" i="1"/>
  <c r="F72" i="1"/>
  <c r="E72" i="1"/>
  <c r="C72" i="1"/>
  <c r="K71" i="1"/>
  <c r="N71" i="1" s="1"/>
  <c r="L71" i="1"/>
  <c r="M71" i="1" s="1"/>
  <c r="K70" i="1"/>
  <c r="L70" i="1"/>
  <c r="M70" i="1" s="1"/>
  <c r="H63" i="1"/>
  <c r="F63" i="1"/>
  <c r="E63" i="1"/>
  <c r="C63" i="1"/>
  <c r="AS36" i="1"/>
  <c r="AY34" i="1"/>
  <c r="BI34" i="1" s="1"/>
  <c r="BK34" i="1" s="1"/>
  <c r="AB34" i="1"/>
  <c r="AP36" i="1" s="1"/>
  <c r="H34" i="1"/>
  <c r="F34" i="1"/>
  <c r="E34" i="1"/>
  <c r="C34" i="1"/>
  <c r="K33" i="1"/>
  <c r="P33" i="1" s="1"/>
  <c r="L32" i="1"/>
  <c r="M32" i="1" s="1"/>
  <c r="R32" i="1" s="1"/>
  <c r="K32" i="1"/>
  <c r="P32" i="1" s="1"/>
  <c r="K31" i="1"/>
  <c r="N31" i="1" s="1"/>
  <c r="AS26" i="1"/>
  <c r="AY24" i="1"/>
  <c r="BJ24" i="1" s="1"/>
  <c r="BL24" i="1" s="1"/>
  <c r="AB24" i="1"/>
  <c r="AP26" i="1" s="1"/>
  <c r="H24" i="1"/>
  <c r="F24" i="1"/>
  <c r="E24" i="1"/>
  <c r="C24" i="1"/>
  <c r="K23" i="1"/>
  <c r="L23" i="1"/>
  <c r="M23" i="1" s="1"/>
  <c r="K22" i="1"/>
  <c r="Q22" i="1" s="1"/>
  <c r="L22" i="1"/>
  <c r="M22" i="1" s="1"/>
  <c r="L21" i="1"/>
  <c r="M21" i="1" s="1"/>
  <c r="K21" i="1"/>
  <c r="Q21" i="1" s="1"/>
  <c r="L20" i="1"/>
  <c r="M20" i="1" s="1"/>
  <c r="K20" i="1"/>
  <c r="Q20" i="1" s="1"/>
  <c r="AS15" i="1"/>
  <c r="AY13" i="1"/>
  <c r="BH13" i="1" s="1"/>
  <c r="AB13" i="1"/>
  <c r="AP15" i="1" s="1"/>
  <c r="H13" i="1"/>
  <c r="F13" i="1"/>
  <c r="E13" i="1"/>
  <c r="C13" i="1"/>
  <c r="G13" i="1"/>
  <c r="D13" i="1"/>
  <c r="K12" i="1"/>
  <c r="Q12" i="1" s="1"/>
  <c r="L12" i="1"/>
  <c r="M12" i="1" s="1"/>
  <c r="K11" i="1"/>
  <c r="L11" i="1"/>
  <c r="M11" i="1" s="1"/>
  <c r="K10" i="1"/>
  <c r="L9" i="1"/>
  <c r="M9" i="1" s="1"/>
  <c r="K9" i="1"/>
  <c r="Q9" i="1" s="1"/>
  <c r="H2" i="1"/>
  <c r="F74" i="1" l="1"/>
  <c r="S100" i="1"/>
  <c r="AQ100" i="1"/>
  <c r="AQ43" i="1"/>
  <c r="AR43" i="1" s="1"/>
  <c r="AT43" i="1" s="1"/>
  <c r="AQ42" i="1"/>
  <c r="AR42" i="1" s="1"/>
  <c r="AT42" i="1" s="1"/>
  <c r="S42" i="1"/>
  <c r="AQ41" i="1"/>
  <c r="AR41" i="1" s="1"/>
  <c r="AT41" i="1" s="1"/>
  <c r="S41" i="1"/>
  <c r="S43" i="1"/>
  <c r="S61" i="1"/>
  <c r="AQ60" i="1"/>
  <c r="AR60" i="1" s="1"/>
  <c r="AT60" i="1" s="1"/>
  <c r="S60" i="1"/>
  <c r="S63" i="1"/>
  <c r="AQ62" i="1"/>
  <c r="AR62" i="1" s="1"/>
  <c r="AT62" i="1" s="1"/>
  <c r="AQ63" i="1"/>
  <c r="AR63" i="1" s="1"/>
  <c r="AT63" i="1" s="1"/>
  <c r="S62" i="1"/>
  <c r="AQ61" i="1"/>
  <c r="AR61" i="1" s="1"/>
  <c r="AT61" i="1" s="1"/>
  <c r="E8" i="3"/>
  <c r="AQ51" i="1"/>
  <c r="AR51" i="1" s="1"/>
  <c r="AT51" i="1" s="1"/>
  <c r="S51" i="1"/>
  <c r="AQ53" i="1"/>
  <c r="AR53" i="1" s="1"/>
  <c r="AT53" i="1" s="1"/>
  <c r="S53" i="1"/>
  <c r="AQ50" i="1"/>
  <c r="AR50" i="1" s="1"/>
  <c r="AT50" i="1" s="1"/>
  <c r="S50" i="1"/>
  <c r="AQ52" i="1"/>
  <c r="AR52" i="1" s="1"/>
  <c r="AT52" i="1" s="1"/>
  <c r="S52" i="1"/>
  <c r="S32" i="1"/>
  <c r="U32" i="1" s="1"/>
  <c r="W32" i="1" s="1"/>
  <c r="L154" i="1"/>
  <c r="M154" i="1" s="1"/>
  <c r="AE154" i="1" s="1"/>
  <c r="L169" i="1"/>
  <c r="M169" i="1" s="1"/>
  <c r="R169" i="1" s="1"/>
  <c r="L140" i="1"/>
  <c r="M140" i="1" s="1"/>
  <c r="AE140" i="1" s="1"/>
  <c r="Q99" i="1"/>
  <c r="N99" i="1"/>
  <c r="L114" i="1"/>
  <c r="M114" i="1" s="1"/>
  <c r="R114" i="1" s="1"/>
  <c r="L124" i="1"/>
  <c r="M124" i="1" s="1"/>
  <c r="AI124" i="1" s="1"/>
  <c r="L180" i="1"/>
  <c r="M180" i="1" s="1"/>
  <c r="AI180" i="1" s="1"/>
  <c r="N125" i="1"/>
  <c r="P181" i="1"/>
  <c r="L158" i="1"/>
  <c r="M158" i="1" s="1"/>
  <c r="L111" i="1"/>
  <c r="M111" i="1" s="1"/>
  <c r="L191" i="1"/>
  <c r="M191" i="1" s="1"/>
  <c r="AI191" i="1" s="1"/>
  <c r="P200" i="1"/>
  <c r="L179" i="1"/>
  <c r="M179" i="1" s="1"/>
  <c r="R179" i="1" s="1"/>
  <c r="BJ34" i="1"/>
  <c r="BL34" i="1" s="1"/>
  <c r="BM34" i="1" s="1"/>
  <c r="L125" i="1"/>
  <c r="M125" i="1" s="1"/>
  <c r="R125" i="1" s="1"/>
  <c r="N155" i="1"/>
  <c r="BJ159" i="1"/>
  <c r="BL159" i="1" s="1"/>
  <c r="BM159" i="1" s="1"/>
  <c r="Q200" i="1"/>
  <c r="P167" i="1"/>
  <c r="Q167" i="1"/>
  <c r="L168" i="1"/>
  <c r="M168" i="1" s="1"/>
  <c r="AE168" i="1" s="1"/>
  <c r="L115" i="1"/>
  <c r="M115" i="1" s="1"/>
  <c r="R115" i="1" s="1"/>
  <c r="L145" i="1"/>
  <c r="M145" i="1" s="1"/>
  <c r="R145" i="1" s="1"/>
  <c r="Q168" i="1"/>
  <c r="L189" i="1"/>
  <c r="M189" i="1" s="1"/>
  <c r="BF34" i="1"/>
  <c r="C118" i="1"/>
  <c r="L157" i="1"/>
  <c r="M157" i="1" s="1"/>
  <c r="AI157" i="1" s="1"/>
  <c r="L131" i="1"/>
  <c r="M131" i="1" s="1"/>
  <c r="R131" i="1" s="1"/>
  <c r="L126" i="1"/>
  <c r="M126" i="1" s="1"/>
  <c r="AI126" i="1" s="1"/>
  <c r="Q140" i="1"/>
  <c r="BI24" i="1"/>
  <c r="BK24" i="1" s="1"/>
  <c r="BM24" i="1" s="1"/>
  <c r="P141" i="1"/>
  <c r="L142" i="1"/>
  <c r="M142" i="1" s="1"/>
  <c r="O142" i="1" s="1"/>
  <c r="N179" i="1"/>
  <c r="BF132" i="1"/>
  <c r="L129" i="1"/>
  <c r="M129" i="1" s="1"/>
  <c r="AE129" i="1" s="1"/>
  <c r="Q142" i="1"/>
  <c r="BJ72" i="1"/>
  <c r="BL72" i="1" s="1"/>
  <c r="L139" i="1"/>
  <c r="M139" i="1" s="1"/>
  <c r="R139" i="1" s="1"/>
  <c r="L141" i="1"/>
  <c r="M141" i="1" s="1"/>
  <c r="AE141" i="1" s="1"/>
  <c r="BH101" i="1"/>
  <c r="P125" i="1"/>
  <c r="N128" i="1"/>
  <c r="BI101" i="1"/>
  <c r="BK101" i="1" s="1"/>
  <c r="P128" i="1"/>
  <c r="L108" i="1"/>
  <c r="M108" i="1" s="1"/>
  <c r="R108" i="1" s="1"/>
  <c r="Q126" i="1"/>
  <c r="D72" i="1"/>
  <c r="BF82" i="1"/>
  <c r="G146" i="1"/>
  <c r="B171" i="1"/>
  <c r="P22" i="1"/>
  <c r="BH82" i="1"/>
  <c r="L127" i="1"/>
  <c r="M127" i="1" s="1"/>
  <c r="AI127" i="1" s="1"/>
  <c r="B201" i="1"/>
  <c r="BI82" i="1"/>
  <c r="BK82" i="1" s="1"/>
  <c r="BM82" i="1" s="1"/>
  <c r="D159" i="1"/>
  <c r="L110" i="1"/>
  <c r="M110" i="1" s="1"/>
  <c r="AE110" i="1" s="1"/>
  <c r="N124" i="1"/>
  <c r="N127" i="1"/>
  <c r="P127" i="1"/>
  <c r="N180" i="1"/>
  <c r="L116" i="1"/>
  <c r="M116" i="1" s="1"/>
  <c r="R116" i="1" s="1"/>
  <c r="N140" i="1"/>
  <c r="N144" i="1"/>
  <c r="L181" i="1"/>
  <c r="M181" i="1" s="1"/>
  <c r="AI181" i="1" s="1"/>
  <c r="O71" i="1"/>
  <c r="N81" i="1"/>
  <c r="O81" i="1" s="1"/>
  <c r="P81" i="1"/>
  <c r="AE81" i="1"/>
  <c r="P90" i="1"/>
  <c r="P89" i="1"/>
  <c r="Q89" i="1"/>
  <c r="BF24" i="1"/>
  <c r="Q90" i="1"/>
  <c r="BJ101" i="1"/>
  <c r="BL101" i="1" s="1"/>
  <c r="L130" i="1"/>
  <c r="M130" i="1" s="1"/>
  <c r="AI130" i="1" s="1"/>
  <c r="BI132" i="1"/>
  <c r="BK132" i="1" s="1"/>
  <c r="BJ146" i="1"/>
  <c r="BL146" i="1" s="1"/>
  <c r="BM146" i="1" s="1"/>
  <c r="Q189" i="1"/>
  <c r="BJ192" i="1"/>
  <c r="BL192" i="1" s="1"/>
  <c r="D201" i="1"/>
  <c r="L156" i="1"/>
  <c r="M156" i="1" s="1"/>
  <c r="AI156" i="1" s="1"/>
  <c r="Q169" i="1"/>
  <c r="D192" i="1"/>
  <c r="D91" i="1"/>
  <c r="N178" i="1"/>
  <c r="BF117" i="1"/>
  <c r="L170" i="1"/>
  <c r="M170" i="1" s="1"/>
  <c r="R170" i="1" s="1"/>
  <c r="BJ117" i="1"/>
  <c r="BL117" i="1" s="1"/>
  <c r="N131" i="1"/>
  <c r="N145" i="1"/>
  <c r="L199" i="1"/>
  <c r="M199" i="1" s="1"/>
  <c r="AI199" i="1" s="1"/>
  <c r="P131" i="1"/>
  <c r="Q145" i="1"/>
  <c r="BF159" i="1"/>
  <c r="BF201" i="1"/>
  <c r="BF13" i="1"/>
  <c r="BI13" i="1"/>
  <c r="BK13" i="1" s="1"/>
  <c r="Q32" i="1"/>
  <c r="BH72" i="1"/>
  <c r="P142" i="1"/>
  <c r="BH159" i="1"/>
  <c r="P199" i="1"/>
  <c r="S10" i="1"/>
  <c r="Q199" i="1"/>
  <c r="G132" i="1"/>
  <c r="AQ10" i="1"/>
  <c r="G101" i="1"/>
  <c r="P126" i="1"/>
  <c r="Q154" i="1"/>
  <c r="N168" i="1"/>
  <c r="G201" i="1"/>
  <c r="B159" i="1"/>
  <c r="G171" i="1"/>
  <c r="N98" i="1"/>
  <c r="G192" i="1"/>
  <c r="S24" i="1"/>
  <c r="Q98" i="1"/>
  <c r="P124" i="1"/>
  <c r="BF146" i="1"/>
  <c r="P166" i="1"/>
  <c r="AQ12" i="1"/>
  <c r="S21" i="1"/>
  <c r="BH146" i="1"/>
  <c r="L155" i="1"/>
  <c r="M155" i="1" s="1"/>
  <c r="AI155" i="1" s="1"/>
  <c r="P158" i="1"/>
  <c r="Q166" i="1"/>
  <c r="BH192" i="1"/>
  <c r="P189" i="1"/>
  <c r="BI192" i="1"/>
  <c r="BK192" i="1" s="1"/>
  <c r="F13" i="3"/>
  <c r="D53" i="3" s="1"/>
  <c r="B54" i="3"/>
  <c r="N79" i="1"/>
  <c r="P71" i="1"/>
  <c r="Q71" i="1"/>
  <c r="N32" i="1"/>
  <c r="O32" i="1" s="1"/>
  <c r="AI20" i="1"/>
  <c r="R20" i="1"/>
  <c r="N20" i="1"/>
  <c r="O20" i="1" s="1"/>
  <c r="P20" i="1"/>
  <c r="N22" i="1"/>
  <c r="O22" i="1" s="1"/>
  <c r="N9" i="1"/>
  <c r="O9" i="1" s="1"/>
  <c r="P9" i="1"/>
  <c r="D7" i="3"/>
  <c r="A20" i="3"/>
  <c r="D20" i="3" s="1"/>
  <c r="D6" i="3"/>
  <c r="B21" i="3"/>
  <c r="F21" i="3" s="1"/>
  <c r="A13" i="3"/>
  <c r="AQ22" i="1"/>
  <c r="S23" i="1"/>
  <c r="AQ23" i="1"/>
  <c r="S11" i="1"/>
  <c r="L113" i="1"/>
  <c r="M113" i="1" s="1"/>
  <c r="AE113" i="1" s="1"/>
  <c r="P109" i="1"/>
  <c r="Q109" i="1"/>
  <c r="L109" i="1"/>
  <c r="M109" i="1" s="1"/>
  <c r="AI109" i="1" s="1"/>
  <c r="L112" i="1"/>
  <c r="M112" i="1" s="1"/>
  <c r="R112" i="1" s="1"/>
  <c r="N114" i="1"/>
  <c r="P114" i="1"/>
  <c r="Q110" i="1"/>
  <c r="N111" i="1"/>
  <c r="N113" i="1"/>
  <c r="P113" i="1"/>
  <c r="Q108" i="1"/>
  <c r="P111" i="1"/>
  <c r="Q115" i="1"/>
  <c r="N110" i="1"/>
  <c r="N108" i="1"/>
  <c r="A21" i="3"/>
  <c r="B20" i="3"/>
  <c r="C8" i="3"/>
  <c r="D39" i="3"/>
  <c r="D41" i="3" s="1"/>
  <c r="B53" i="3"/>
  <c r="C53" i="3"/>
  <c r="AI11" i="1"/>
  <c r="AE11" i="1"/>
  <c r="R11" i="1"/>
  <c r="AI22" i="1"/>
  <c r="AE22" i="1"/>
  <c r="R22" i="1"/>
  <c r="AE12" i="1"/>
  <c r="R12" i="1"/>
  <c r="AI12" i="1"/>
  <c r="R9" i="1"/>
  <c r="AI9" i="1"/>
  <c r="AE9" i="1"/>
  <c r="R23" i="1"/>
  <c r="AE23" i="1"/>
  <c r="AI23" i="1"/>
  <c r="AE21" i="1"/>
  <c r="R21" i="1"/>
  <c r="G34" i="1"/>
  <c r="BH24" i="1"/>
  <c r="L33" i="1"/>
  <c r="M33" i="1" s="1"/>
  <c r="P12" i="1"/>
  <c r="N12" i="1"/>
  <c r="O12" i="1" s="1"/>
  <c r="N33" i="1"/>
  <c r="Z33" i="1" s="1"/>
  <c r="Q33" i="1"/>
  <c r="Q10" i="1"/>
  <c r="P10" i="1"/>
  <c r="L10" i="1"/>
  <c r="M10" i="1" s="1"/>
  <c r="M13" i="1" s="1"/>
  <c r="G24" i="1"/>
  <c r="N23" i="1"/>
  <c r="Z23" i="1" s="1"/>
  <c r="AA23" i="1" s="1"/>
  <c r="P23" i="1"/>
  <c r="M72" i="1"/>
  <c r="AI70" i="1"/>
  <c r="R70" i="1"/>
  <c r="AE70" i="1"/>
  <c r="N10" i="1"/>
  <c r="B24" i="1"/>
  <c r="S192" i="1"/>
  <c r="AQ157" i="1"/>
  <c r="S142" i="1"/>
  <c r="AQ140" i="1"/>
  <c r="AQ191" i="1"/>
  <c r="S158" i="1"/>
  <c r="AQ156" i="1"/>
  <c r="S141" i="1"/>
  <c r="AQ139" i="1"/>
  <c r="S189" i="1"/>
  <c r="AQ182" i="1"/>
  <c r="AQ169" i="1"/>
  <c r="S154" i="1"/>
  <c r="S170" i="1"/>
  <c r="AQ168" i="1"/>
  <c r="S153" i="1"/>
  <c r="AQ146" i="1"/>
  <c r="AQ189" i="1"/>
  <c r="S182" i="1"/>
  <c r="AQ171" i="1"/>
  <c r="S200" i="1"/>
  <c r="S169" i="1"/>
  <c r="S166" i="1"/>
  <c r="S156" i="1"/>
  <c r="AQ145" i="1"/>
  <c r="AQ192" i="1"/>
  <c r="S179" i="1"/>
  <c r="AQ200" i="1"/>
  <c r="AQ179" i="1"/>
  <c r="S143" i="1"/>
  <c r="S201" i="1"/>
  <c r="S190" i="1"/>
  <c r="AQ159" i="1"/>
  <c r="S159" i="1"/>
  <c r="AQ154" i="1"/>
  <c r="AQ143" i="1"/>
  <c r="S116" i="1"/>
  <c r="AQ114" i="1"/>
  <c r="AQ190" i="1"/>
  <c r="S180" i="1"/>
  <c r="S167" i="1"/>
  <c r="S139" i="1"/>
  <c r="S115" i="1"/>
  <c r="AQ113" i="1"/>
  <c r="AQ201" i="1"/>
  <c r="AQ180" i="1"/>
  <c r="AQ167" i="1"/>
  <c r="AQ128" i="1"/>
  <c r="AQ127" i="1"/>
  <c r="S155" i="1"/>
  <c r="S144" i="1"/>
  <c r="AQ129" i="1"/>
  <c r="S129" i="1"/>
  <c r="S128" i="1"/>
  <c r="AQ126" i="1"/>
  <c r="S112" i="1"/>
  <c r="S199" i="1"/>
  <c r="AQ170" i="1"/>
  <c r="S127" i="1"/>
  <c r="S191" i="1"/>
  <c r="AQ199" i="1"/>
  <c r="AQ181" i="1"/>
  <c r="AQ178" i="1"/>
  <c r="S171" i="1"/>
  <c r="AQ153" i="1"/>
  <c r="S126" i="1"/>
  <c r="AQ115" i="1"/>
  <c r="S113" i="1"/>
  <c r="AQ132" i="1"/>
  <c r="S131" i="1"/>
  <c r="AQ166" i="1"/>
  <c r="S145" i="1"/>
  <c r="S130" i="1"/>
  <c r="S124" i="1"/>
  <c r="S181" i="1"/>
  <c r="S146" i="1"/>
  <c r="AQ124" i="1"/>
  <c r="AQ141" i="1"/>
  <c r="S114" i="1"/>
  <c r="AQ110" i="1"/>
  <c r="AQ109" i="1"/>
  <c r="AQ99" i="1"/>
  <c r="AQ116" i="1"/>
  <c r="S110" i="1"/>
  <c r="AQ108" i="1"/>
  <c r="AQ158" i="1"/>
  <c r="AQ131" i="1"/>
  <c r="S125" i="1"/>
  <c r="AQ111" i="1"/>
  <c r="S111" i="1"/>
  <c r="S109" i="1"/>
  <c r="S157" i="1"/>
  <c r="AQ142" i="1"/>
  <c r="S108" i="1"/>
  <c r="S101" i="1"/>
  <c r="AQ130" i="1"/>
  <c r="S132" i="1"/>
  <c r="AQ144" i="1"/>
  <c r="S90" i="1"/>
  <c r="S168" i="1"/>
  <c r="AQ101" i="1"/>
  <c r="S89" i="1"/>
  <c r="AQ82" i="1"/>
  <c r="AQ155" i="1"/>
  <c r="AQ117" i="1"/>
  <c r="AQ125" i="1"/>
  <c r="S178" i="1"/>
  <c r="S140" i="1"/>
  <c r="AQ112" i="1"/>
  <c r="S117" i="1"/>
  <c r="S98" i="1"/>
  <c r="S80" i="1"/>
  <c r="S91" i="1"/>
  <c r="S72" i="1"/>
  <c r="AQ89" i="1"/>
  <c r="S99" i="1"/>
  <c r="S82" i="1"/>
  <c r="AQ91" i="1"/>
  <c r="AQ81" i="1"/>
  <c r="S81" i="1"/>
  <c r="AQ79" i="1"/>
  <c r="AQ90" i="1"/>
  <c r="AQ71" i="1"/>
  <c r="AQ70" i="1"/>
  <c r="AQ80" i="1"/>
  <c r="AQ98" i="1"/>
  <c r="AQ72" i="1"/>
  <c r="S71" i="1"/>
  <c r="AQ32" i="1"/>
  <c r="S70" i="1"/>
  <c r="S34" i="1"/>
  <c r="AQ24" i="1"/>
  <c r="S13" i="1"/>
  <c r="AQ34" i="1"/>
  <c r="AQ31" i="1"/>
  <c r="S31" i="1"/>
  <c r="S9" i="1"/>
  <c r="S79" i="1"/>
  <c r="S33" i="1"/>
  <c r="S22" i="1"/>
  <c r="S20" i="1"/>
  <c r="AQ13" i="1"/>
  <c r="S12" i="1"/>
  <c r="AQ20" i="1"/>
  <c r="AI32" i="1"/>
  <c r="B13" i="1"/>
  <c r="M24" i="1"/>
  <c r="AE20" i="1"/>
  <c r="Q23" i="1"/>
  <c r="D24" i="1"/>
  <c r="AI21" i="1"/>
  <c r="AE32" i="1"/>
  <c r="Q11" i="1"/>
  <c r="P11" i="1"/>
  <c r="B34" i="1"/>
  <c r="D34" i="1"/>
  <c r="L31" i="1"/>
  <c r="M31" i="1" s="1"/>
  <c r="G63" i="1"/>
  <c r="AQ9" i="1"/>
  <c r="AQ11" i="1"/>
  <c r="P21" i="1"/>
  <c r="N21" i="1"/>
  <c r="AQ21" i="1"/>
  <c r="AQ33" i="1"/>
  <c r="N11" i="1"/>
  <c r="O11" i="1" s="1"/>
  <c r="P31" i="1"/>
  <c r="Q31" i="1"/>
  <c r="BJ13" i="1"/>
  <c r="BL13" i="1" s="1"/>
  <c r="D63" i="1"/>
  <c r="B63" i="1"/>
  <c r="B82" i="1"/>
  <c r="D82" i="1"/>
  <c r="L79" i="1"/>
  <c r="M79" i="1" s="1"/>
  <c r="T32" i="1"/>
  <c r="V32" i="1" s="1"/>
  <c r="AI71" i="1"/>
  <c r="R71" i="1"/>
  <c r="AE71" i="1"/>
  <c r="G72" i="1"/>
  <c r="M91" i="1"/>
  <c r="R89" i="1"/>
  <c r="O89" i="1"/>
  <c r="AE89" i="1"/>
  <c r="AI89" i="1"/>
  <c r="Q70" i="1"/>
  <c r="P70" i="1"/>
  <c r="N70" i="1"/>
  <c r="Z70" i="1" s="1"/>
  <c r="AA70" i="1" s="1"/>
  <c r="Q79" i="1"/>
  <c r="R90" i="1"/>
  <c r="AI90" i="1"/>
  <c r="AE90" i="1"/>
  <c r="O90" i="1"/>
  <c r="BH34" i="1"/>
  <c r="G91" i="1"/>
  <c r="L80" i="1"/>
  <c r="M80" i="1" s="1"/>
  <c r="P80" i="1"/>
  <c r="Q80" i="1"/>
  <c r="R81" i="1"/>
  <c r="AI81" i="1"/>
  <c r="B72" i="1"/>
  <c r="BI72" i="1"/>
  <c r="BK72" i="1" s="1"/>
  <c r="G82" i="1"/>
  <c r="B91" i="1"/>
  <c r="B101" i="1"/>
  <c r="BI91" i="1"/>
  <c r="BK91" i="1" s="1"/>
  <c r="BH91" i="1"/>
  <c r="BF91" i="1"/>
  <c r="BJ91" i="1"/>
  <c r="BL91" i="1" s="1"/>
  <c r="AI111" i="1"/>
  <c r="R111" i="1"/>
  <c r="AE111" i="1"/>
  <c r="Q170" i="1"/>
  <c r="P170" i="1"/>
  <c r="N170" i="1"/>
  <c r="L99" i="1"/>
  <c r="M99" i="1" s="1"/>
  <c r="Q129" i="1"/>
  <c r="P129" i="1"/>
  <c r="N129" i="1"/>
  <c r="G159" i="1"/>
  <c r="L153" i="1"/>
  <c r="M153" i="1" s="1"/>
  <c r="G117" i="1"/>
  <c r="Q116" i="1"/>
  <c r="P116" i="1"/>
  <c r="N116" i="1"/>
  <c r="Q153" i="1"/>
  <c r="P153" i="1"/>
  <c r="N153" i="1"/>
  <c r="L98" i="1"/>
  <c r="M98" i="1" s="1"/>
  <c r="D101" i="1"/>
  <c r="N112" i="1"/>
  <c r="P112" i="1"/>
  <c r="Q112" i="1"/>
  <c r="O158" i="1"/>
  <c r="R158" i="1"/>
  <c r="AI158" i="1"/>
  <c r="AE158" i="1"/>
  <c r="D132" i="1"/>
  <c r="B132" i="1"/>
  <c r="Q139" i="1"/>
  <c r="P139" i="1"/>
  <c r="N139" i="1"/>
  <c r="P130" i="1"/>
  <c r="Q181" i="1"/>
  <c r="Q130" i="1"/>
  <c r="M192" i="1"/>
  <c r="R189" i="1"/>
  <c r="O189" i="1"/>
  <c r="O192" i="1" s="1"/>
  <c r="AI189" i="1"/>
  <c r="AE189" i="1"/>
  <c r="AE192" i="1" s="1"/>
  <c r="B117" i="1"/>
  <c r="Q143" i="1"/>
  <c r="P143" i="1"/>
  <c r="N143" i="1"/>
  <c r="D117" i="1"/>
  <c r="B182" i="1"/>
  <c r="L178" i="1"/>
  <c r="M178" i="1" s="1"/>
  <c r="D182" i="1"/>
  <c r="N115" i="1"/>
  <c r="BI117" i="1"/>
  <c r="BK117" i="1" s="1"/>
  <c r="L128" i="1"/>
  <c r="M128" i="1" s="1"/>
  <c r="B146" i="1"/>
  <c r="D146" i="1"/>
  <c r="BJ182" i="1"/>
  <c r="BL182" i="1" s="1"/>
  <c r="BI182" i="1"/>
  <c r="BK182" i="1" s="1"/>
  <c r="P155" i="1"/>
  <c r="N157" i="1"/>
  <c r="B192" i="1"/>
  <c r="L143" i="1"/>
  <c r="M143" i="1" s="1"/>
  <c r="Q157" i="1"/>
  <c r="BI171" i="1"/>
  <c r="BK171" i="1" s="1"/>
  <c r="BM171" i="1" s="1"/>
  <c r="BH171" i="1"/>
  <c r="L190" i="1"/>
  <c r="M190" i="1" s="1"/>
  <c r="L166" i="1"/>
  <c r="M166" i="1" s="1"/>
  <c r="Q180" i="1"/>
  <c r="BF182" i="1"/>
  <c r="N190" i="1"/>
  <c r="Q156" i="1"/>
  <c r="P156" i="1"/>
  <c r="Q141" i="1"/>
  <c r="N154" i="1"/>
  <c r="N169" i="1"/>
  <c r="D171" i="1"/>
  <c r="BF171" i="1"/>
  <c r="BH182" i="1"/>
  <c r="P190" i="1"/>
  <c r="L200" i="1"/>
  <c r="M200" i="1" s="1"/>
  <c r="BI201" i="1"/>
  <c r="BK201" i="1" s="1"/>
  <c r="BM201" i="1" s="1"/>
  <c r="BH201" i="1"/>
  <c r="Q191" i="1"/>
  <c r="P191" i="1"/>
  <c r="BJ132" i="1"/>
  <c r="BL132" i="1" s="1"/>
  <c r="L144" i="1"/>
  <c r="M144" i="1" s="1"/>
  <c r="Q158" i="1"/>
  <c r="G182" i="1"/>
  <c r="L167" i="1"/>
  <c r="M167" i="1" s="1"/>
  <c r="P144" i="1"/>
  <c r="BM117" i="1" l="1"/>
  <c r="AI169" i="1"/>
  <c r="R154" i="1"/>
  <c r="AE169" i="1"/>
  <c r="AI145" i="1"/>
  <c r="AI154" i="1"/>
  <c r="AE145" i="1"/>
  <c r="O191" i="1"/>
  <c r="R191" i="1"/>
  <c r="U191" i="1" s="1"/>
  <c r="W191" i="1" s="1"/>
  <c r="AE191" i="1"/>
  <c r="O140" i="1"/>
  <c r="U100" i="1"/>
  <c r="W100" i="1" s="1"/>
  <c r="T100" i="1"/>
  <c r="V100" i="1" s="1"/>
  <c r="AE108" i="1"/>
  <c r="AE117" i="1" s="1"/>
  <c r="O126" i="1"/>
  <c r="R126" i="1"/>
  <c r="T126" i="1" s="1"/>
  <c r="V126" i="1" s="1"/>
  <c r="AI125" i="1"/>
  <c r="O154" i="1"/>
  <c r="AE199" i="1"/>
  <c r="AE201" i="1" s="1"/>
  <c r="AE126" i="1"/>
  <c r="AE125" i="1"/>
  <c r="AE124" i="1"/>
  <c r="AE132" i="1" s="1"/>
  <c r="AI168" i="1"/>
  <c r="O125" i="1"/>
  <c r="B39" i="3"/>
  <c r="J13" i="3"/>
  <c r="T62" i="1"/>
  <c r="V62" i="1" s="1"/>
  <c r="U62" i="1"/>
  <c r="W62" i="1" s="1"/>
  <c r="U63" i="1"/>
  <c r="W63" i="1" s="1"/>
  <c r="T63" i="1"/>
  <c r="V63" i="1" s="1"/>
  <c r="U60" i="1"/>
  <c r="W60" i="1" s="1"/>
  <c r="T60" i="1"/>
  <c r="V60" i="1" s="1"/>
  <c r="R180" i="1"/>
  <c r="T180" i="1" s="1"/>
  <c r="V180" i="1" s="1"/>
  <c r="AI115" i="1"/>
  <c r="AE180" i="1"/>
  <c r="U61" i="1"/>
  <c r="W61" i="1" s="1"/>
  <c r="T61" i="1"/>
  <c r="V61" i="1" s="1"/>
  <c r="U43" i="1"/>
  <c r="W43" i="1" s="1"/>
  <c r="T43" i="1"/>
  <c r="V43" i="1" s="1"/>
  <c r="T41" i="1"/>
  <c r="V41" i="1" s="1"/>
  <c r="U41" i="1"/>
  <c r="W41" i="1" s="1"/>
  <c r="R168" i="1"/>
  <c r="U168" i="1" s="1"/>
  <c r="W168" i="1" s="1"/>
  <c r="T42" i="1"/>
  <c r="V42" i="1" s="1"/>
  <c r="U42" i="1"/>
  <c r="W42" i="1" s="1"/>
  <c r="O115" i="1"/>
  <c r="M132" i="1"/>
  <c r="R132" i="1" s="1"/>
  <c r="U108" i="1"/>
  <c r="W108" i="1" s="1"/>
  <c r="M117" i="1"/>
  <c r="R117" i="1" s="1"/>
  <c r="BM132" i="1"/>
  <c r="AI108" i="1"/>
  <c r="AI114" i="1"/>
  <c r="AE114" i="1"/>
  <c r="AI142" i="1"/>
  <c r="R142" i="1"/>
  <c r="U142" i="1" s="1"/>
  <c r="W142" i="1" s="1"/>
  <c r="AE181" i="1"/>
  <c r="AE112" i="1"/>
  <c r="AI140" i="1"/>
  <c r="AE142" i="1"/>
  <c r="O114" i="1"/>
  <c r="R124" i="1"/>
  <c r="U124" i="1" s="1"/>
  <c r="W124" i="1" s="1"/>
  <c r="O180" i="1"/>
  <c r="O168" i="1"/>
  <c r="O124" i="1"/>
  <c r="O132" i="1" s="1"/>
  <c r="P132" i="1" s="1"/>
  <c r="Z127" i="1" s="1"/>
  <c r="AA127" i="1" s="1"/>
  <c r="U52" i="1"/>
  <c r="W52" i="1" s="1"/>
  <c r="T52" i="1"/>
  <c r="V52" i="1" s="1"/>
  <c r="T50" i="1"/>
  <c r="V50" i="1" s="1"/>
  <c r="U50" i="1"/>
  <c r="W50" i="1" s="1"/>
  <c r="U53" i="1"/>
  <c r="W53" i="1" s="1"/>
  <c r="T53" i="1"/>
  <c r="V53" i="1" s="1"/>
  <c r="U51" i="1"/>
  <c r="W51" i="1" s="1"/>
  <c r="T51" i="1"/>
  <c r="V51" i="1" s="1"/>
  <c r="AE131" i="1"/>
  <c r="AI131" i="1"/>
  <c r="U20" i="1"/>
  <c r="W20" i="1" s="1"/>
  <c r="O131" i="1"/>
  <c r="AE115" i="1"/>
  <c r="BM101" i="1"/>
  <c r="O155" i="1"/>
  <c r="U169" i="1"/>
  <c r="W169" i="1" s="1"/>
  <c r="R155" i="1"/>
  <c r="U155" i="1" s="1"/>
  <c r="W155" i="1" s="1"/>
  <c r="O199" i="1"/>
  <c r="O201" i="1" s="1"/>
  <c r="O157" i="1"/>
  <c r="AI141" i="1"/>
  <c r="R141" i="1"/>
  <c r="U141" i="1" s="1"/>
  <c r="W141" i="1" s="1"/>
  <c r="O141" i="1"/>
  <c r="R199" i="1"/>
  <c r="T199" i="1" s="1"/>
  <c r="V199" i="1" s="1"/>
  <c r="M201" i="1"/>
  <c r="AD201" i="1" s="1"/>
  <c r="R157" i="1"/>
  <c r="U157" i="1" s="1"/>
  <c r="W157" i="1" s="1"/>
  <c r="AE157" i="1"/>
  <c r="O139" i="1"/>
  <c r="O146" i="1" s="1"/>
  <c r="AI139" i="1"/>
  <c r="O110" i="1"/>
  <c r="AE170" i="1"/>
  <c r="M146" i="1"/>
  <c r="R146" i="1" s="1"/>
  <c r="AE139" i="1"/>
  <c r="AE146" i="1" s="1"/>
  <c r="AI113" i="1"/>
  <c r="O113" i="1"/>
  <c r="O108" i="1"/>
  <c r="O117" i="1" s="1"/>
  <c r="AE130" i="1"/>
  <c r="U81" i="1"/>
  <c r="W81" i="1" s="1"/>
  <c r="T108" i="1"/>
  <c r="V108" i="1" s="1"/>
  <c r="O130" i="1"/>
  <c r="R140" i="1"/>
  <c r="T140" i="1" s="1"/>
  <c r="V140" i="1" s="1"/>
  <c r="R130" i="1"/>
  <c r="U130" i="1" s="1"/>
  <c r="W130" i="1" s="1"/>
  <c r="U115" i="1"/>
  <c r="W115" i="1" s="1"/>
  <c r="BM72" i="1"/>
  <c r="AE179" i="1"/>
  <c r="AI179" i="1"/>
  <c r="O179" i="1"/>
  <c r="AI129" i="1"/>
  <c r="O181" i="1"/>
  <c r="U89" i="1"/>
  <c r="W89" i="1" s="1"/>
  <c r="O111" i="1"/>
  <c r="T154" i="1"/>
  <c r="V154" i="1" s="1"/>
  <c r="AE155" i="1"/>
  <c r="R109" i="1"/>
  <c r="T109" i="1" s="1"/>
  <c r="V109" i="1" s="1"/>
  <c r="AE109" i="1"/>
  <c r="AI112" i="1"/>
  <c r="O129" i="1"/>
  <c r="BM192" i="1"/>
  <c r="R129" i="1"/>
  <c r="T129" i="1" s="1"/>
  <c r="V129" i="1" s="1"/>
  <c r="O145" i="1"/>
  <c r="R181" i="1"/>
  <c r="T181" i="1" s="1"/>
  <c r="V181" i="1" s="1"/>
  <c r="BM13" i="1"/>
  <c r="R113" i="1"/>
  <c r="U113" i="1" s="1"/>
  <c r="W113" i="1" s="1"/>
  <c r="T22" i="1"/>
  <c r="V22" i="1" s="1"/>
  <c r="T131" i="1"/>
  <c r="V131" i="1" s="1"/>
  <c r="R156" i="1"/>
  <c r="U156" i="1" s="1"/>
  <c r="W156" i="1" s="1"/>
  <c r="AE116" i="1"/>
  <c r="AE91" i="1"/>
  <c r="R127" i="1"/>
  <c r="AE127" i="1"/>
  <c r="O127" i="1"/>
  <c r="R110" i="1"/>
  <c r="U110" i="1" s="1"/>
  <c r="W110" i="1" s="1"/>
  <c r="U131" i="1"/>
  <c r="W131" i="1" s="1"/>
  <c r="AI110" i="1"/>
  <c r="AI170" i="1"/>
  <c r="AI116" i="1"/>
  <c r="O156" i="1"/>
  <c r="T158" i="1"/>
  <c r="V158" i="1" s="1"/>
  <c r="AE156" i="1"/>
  <c r="T89" i="1"/>
  <c r="V89" i="1" s="1"/>
  <c r="AE24" i="1"/>
  <c r="U158" i="1"/>
  <c r="W158" i="1" s="1"/>
  <c r="T169" i="1"/>
  <c r="V169" i="1" s="1"/>
  <c r="T115" i="1"/>
  <c r="V115" i="1" s="1"/>
  <c r="U189" i="1"/>
  <c r="W189" i="1" s="1"/>
  <c r="B40" i="3"/>
  <c r="B45" i="3" s="1"/>
  <c r="C20" i="3"/>
  <c r="E20" i="3" s="1"/>
  <c r="AE72" i="1"/>
  <c r="U9" i="1"/>
  <c r="W9" i="1" s="1"/>
  <c r="D8" i="3"/>
  <c r="B13" i="3"/>
  <c r="D13" i="3" s="1"/>
  <c r="G13" i="3" s="1"/>
  <c r="T189" i="1"/>
  <c r="V189" i="1" s="1"/>
  <c r="U71" i="1"/>
  <c r="W71" i="1" s="1"/>
  <c r="T81" i="1"/>
  <c r="V81" i="1" s="1"/>
  <c r="U22" i="1"/>
  <c r="W22" i="1" s="1"/>
  <c r="U125" i="1"/>
  <c r="W125" i="1" s="1"/>
  <c r="U90" i="1"/>
  <c r="W90" i="1" s="1"/>
  <c r="U111" i="1"/>
  <c r="W111" i="1" s="1"/>
  <c r="U114" i="1"/>
  <c r="W114" i="1" s="1"/>
  <c r="O109" i="1"/>
  <c r="T111" i="1"/>
  <c r="V111" i="1" s="1"/>
  <c r="T114" i="1"/>
  <c r="V114" i="1" s="1"/>
  <c r="D21" i="3"/>
  <c r="C21" i="3"/>
  <c r="E21" i="3" s="1"/>
  <c r="N22" i="3"/>
  <c r="F20" i="3"/>
  <c r="N20" i="3"/>
  <c r="B22" i="3"/>
  <c r="B44" i="3"/>
  <c r="A22" i="3"/>
  <c r="AE31" i="1"/>
  <c r="M34" i="1"/>
  <c r="R31" i="1"/>
  <c r="U31" i="1" s="1"/>
  <c r="W31" i="1" s="1"/>
  <c r="O31" i="1"/>
  <c r="AI31" i="1"/>
  <c r="O70" i="1"/>
  <c r="U23" i="1"/>
  <c r="W23" i="1" s="1"/>
  <c r="T23" i="1"/>
  <c r="V23" i="1" s="1"/>
  <c r="O23" i="1"/>
  <c r="R178" i="1"/>
  <c r="AI178" i="1"/>
  <c r="M182" i="1"/>
  <c r="AE178" i="1"/>
  <c r="AE182" i="1" s="1"/>
  <c r="O178" i="1"/>
  <c r="O182" i="1" s="1"/>
  <c r="P192" i="1"/>
  <c r="Z190" i="1" s="1"/>
  <c r="AA190" i="1" s="1"/>
  <c r="U179" i="1"/>
  <c r="W179" i="1" s="1"/>
  <c r="T179" i="1"/>
  <c r="V179" i="1" s="1"/>
  <c r="U112" i="1"/>
  <c r="W112" i="1" s="1"/>
  <c r="T112" i="1"/>
  <c r="V112" i="1" s="1"/>
  <c r="O91" i="1"/>
  <c r="P91" i="1" s="1"/>
  <c r="R190" i="1"/>
  <c r="T190" i="1" s="1"/>
  <c r="V190" i="1" s="1"/>
  <c r="AE190" i="1"/>
  <c r="O190" i="1"/>
  <c r="AI190" i="1"/>
  <c r="T71" i="1"/>
  <c r="V71" i="1" s="1"/>
  <c r="O79" i="1"/>
  <c r="AI79" i="1"/>
  <c r="AE79" i="1"/>
  <c r="M82" i="1"/>
  <c r="R79" i="1"/>
  <c r="U21" i="1"/>
  <c r="W21" i="1" s="1"/>
  <c r="T21" i="1"/>
  <c r="V21" i="1" s="1"/>
  <c r="R24" i="1"/>
  <c r="AD24" i="1"/>
  <c r="O33" i="1"/>
  <c r="AE33" i="1"/>
  <c r="AA33" i="1"/>
  <c r="AI33" i="1"/>
  <c r="R33" i="1"/>
  <c r="U139" i="1"/>
  <c r="W139" i="1" s="1"/>
  <c r="T139" i="1"/>
  <c r="V139" i="1" s="1"/>
  <c r="AI128" i="1"/>
  <c r="R128" i="1"/>
  <c r="AE128" i="1"/>
  <c r="O128" i="1"/>
  <c r="R192" i="1"/>
  <c r="AD192" i="1"/>
  <c r="AF192" i="1" s="1"/>
  <c r="AD72" i="1"/>
  <c r="R72" i="1"/>
  <c r="AI167" i="1"/>
  <c r="O167" i="1"/>
  <c r="AE167" i="1"/>
  <c r="R167" i="1"/>
  <c r="R143" i="1"/>
  <c r="U143" i="1" s="1"/>
  <c r="W143" i="1" s="1"/>
  <c r="AI143" i="1"/>
  <c r="O143" i="1"/>
  <c r="AE143" i="1"/>
  <c r="U116" i="1"/>
  <c r="W116" i="1" s="1"/>
  <c r="T116" i="1"/>
  <c r="V116" i="1" s="1"/>
  <c r="U70" i="1"/>
  <c r="W70" i="1" s="1"/>
  <c r="T70" i="1"/>
  <c r="V70" i="1" s="1"/>
  <c r="T20" i="1"/>
  <c r="V20" i="1" s="1"/>
  <c r="O21" i="1"/>
  <c r="O169" i="1"/>
  <c r="T170" i="1"/>
  <c r="V170" i="1" s="1"/>
  <c r="U170" i="1"/>
  <c r="W170" i="1" s="1"/>
  <c r="R10" i="1"/>
  <c r="U10" i="1" s="1"/>
  <c r="W10" i="1" s="1"/>
  <c r="AE10" i="1"/>
  <c r="AE13" i="1" s="1"/>
  <c r="O10" i="1"/>
  <c r="O13" i="1" s="1"/>
  <c r="P13" i="1" s="1"/>
  <c r="AI10" i="1"/>
  <c r="BM91" i="1"/>
  <c r="R144" i="1"/>
  <c r="T144" i="1" s="1"/>
  <c r="V144" i="1" s="1"/>
  <c r="AI144" i="1"/>
  <c r="AE144" i="1"/>
  <c r="O144" i="1"/>
  <c r="U145" i="1"/>
  <c r="W145" i="1" s="1"/>
  <c r="T145" i="1"/>
  <c r="V145" i="1" s="1"/>
  <c r="O98" i="1"/>
  <c r="M101" i="1"/>
  <c r="AI98" i="1"/>
  <c r="AE98" i="1"/>
  <c r="R98" i="1"/>
  <c r="T125" i="1"/>
  <c r="V125" i="1" s="1"/>
  <c r="AD91" i="1"/>
  <c r="R91" i="1"/>
  <c r="R99" i="1"/>
  <c r="O99" i="1"/>
  <c r="AI99" i="1"/>
  <c r="AE99" i="1"/>
  <c r="T11" i="1"/>
  <c r="V11" i="1" s="1"/>
  <c r="U11" i="1"/>
  <c r="W11" i="1" s="1"/>
  <c r="BM182" i="1"/>
  <c r="O116" i="1"/>
  <c r="AI80" i="1"/>
  <c r="R80" i="1"/>
  <c r="U80" i="1" s="1"/>
  <c r="W80" i="1" s="1"/>
  <c r="AE80" i="1"/>
  <c r="O80" i="1"/>
  <c r="T9" i="1"/>
  <c r="V9" i="1" s="1"/>
  <c r="AI153" i="1"/>
  <c r="AE153" i="1"/>
  <c r="AE159" i="1" s="1"/>
  <c r="R153" i="1"/>
  <c r="T153" i="1" s="1"/>
  <c r="V153" i="1" s="1"/>
  <c r="O153" i="1"/>
  <c r="O159" i="1" s="1"/>
  <c r="M159" i="1"/>
  <c r="R13" i="1"/>
  <c r="AD13" i="1"/>
  <c r="U12" i="1"/>
  <c r="W12" i="1" s="1"/>
  <c r="T12" i="1"/>
  <c r="V12" i="1" s="1"/>
  <c r="O170" i="1"/>
  <c r="T90" i="1"/>
  <c r="V90" i="1" s="1"/>
  <c r="AI200" i="1"/>
  <c r="R200" i="1"/>
  <c r="O200" i="1"/>
  <c r="AE200" i="1"/>
  <c r="AI166" i="1"/>
  <c r="M171" i="1"/>
  <c r="O166" i="1"/>
  <c r="O171" i="1" s="1"/>
  <c r="AE166" i="1"/>
  <c r="AE171" i="1" s="1"/>
  <c r="R166" i="1"/>
  <c r="U154" i="1"/>
  <c r="W154" i="1" s="1"/>
  <c r="O112" i="1"/>
  <c r="T191" i="1" l="1"/>
  <c r="V191" i="1" s="1"/>
  <c r="AD117" i="1"/>
  <c r="AF117" i="1" s="1"/>
  <c r="U126" i="1"/>
  <c r="W126" i="1" s="1"/>
  <c r="AD132" i="1"/>
  <c r="T155" i="1"/>
  <c r="V155" i="1" s="1"/>
  <c r="P117" i="1"/>
  <c r="Z116" i="1" s="1"/>
  <c r="AA116" i="1" s="1"/>
  <c r="U180" i="1"/>
  <c r="W180" i="1" s="1"/>
  <c r="AF201" i="1"/>
  <c r="AF132" i="1"/>
  <c r="T124" i="1"/>
  <c r="V124" i="1" s="1"/>
  <c r="B55" i="3"/>
  <c r="B57" i="3" s="1"/>
  <c r="B61" i="3" s="1"/>
  <c r="I20" i="3"/>
  <c r="AD146" i="1"/>
  <c r="AF146" i="1" s="1"/>
  <c r="T142" i="1"/>
  <c r="V142" i="1" s="1"/>
  <c r="T168" i="1"/>
  <c r="V168" i="1" s="1"/>
  <c r="U140" i="1"/>
  <c r="W140" i="1" s="1"/>
  <c r="J20" i="3"/>
  <c r="C22" i="3"/>
  <c r="W21" i="3" s="1"/>
  <c r="B41" i="3"/>
  <c r="T157" i="1"/>
  <c r="V157" i="1" s="1"/>
  <c r="AE101" i="1"/>
  <c r="O101" i="1"/>
  <c r="P101" i="1" s="1"/>
  <c r="Z100" i="1" s="1"/>
  <c r="AA100" i="1" s="1"/>
  <c r="T141" i="1"/>
  <c r="V141" i="1" s="1"/>
  <c r="P201" i="1"/>
  <c r="Q201" i="1" s="1"/>
  <c r="R201" i="1"/>
  <c r="U199" i="1"/>
  <c r="W199" i="1" s="1"/>
  <c r="P146" i="1"/>
  <c r="Z144" i="1" s="1"/>
  <c r="AA144" i="1" s="1"/>
  <c r="U132" i="1"/>
  <c r="W132" i="1" s="1"/>
  <c r="T130" i="1"/>
  <c r="V130" i="1" s="1"/>
  <c r="Z129" i="1"/>
  <c r="AA129" i="1" s="1"/>
  <c r="Z126" i="1"/>
  <c r="AA126" i="1" s="1"/>
  <c r="Z124" i="1"/>
  <c r="AA124" i="1" s="1"/>
  <c r="AA132" i="1" s="1"/>
  <c r="BO132" i="1" s="1"/>
  <c r="Q132" i="1"/>
  <c r="U129" i="1"/>
  <c r="W129" i="1" s="1"/>
  <c r="T156" i="1"/>
  <c r="V156" i="1" s="1"/>
  <c r="T113" i="1"/>
  <c r="V113" i="1" s="1"/>
  <c r="U109" i="1"/>
  <c r="W109" i="1" s="1"/>
  <c r="Z131" i="1"/>
  <c r="AA131" i="1" s="1"/>
  <c r="Z125" i="1"/>
  <c r="AA125" i="1" s="1"/>
  <c r="U181" i="1"/>
  <c r="W181" i="1" s="1"/>
  <c r="AF72" i="1"/>
  <c r="U190" i="1"/>
  <c r="W190" i="1" s="1"/>
  <c r="Z130" i="1"/>
  <c r="AA130" i="1" s="1"/>
  <c r="AF91" i="1"/>
  <c r="AF24" i="1"/>
  <c r="Z128" i="1"/>
  <c r="AA128" i="1" s="1"/>
  <c r="Z90" i="1"/>
  <c r="AA90" i="1" s="1"/>
  <c r="Z89" i="1"/>
  <c r="AA89" i="1" s="1"/>
  <c r="Q91" i="1"/>
  <c r="T110" i="1"/>
  <c r="V110" i="1" s="1"/>
  <c r="U91" i="1"/>
  <c r="W91" i="1" s="1"/>
  <c r="U127" i="1"/>
  <c r="W127" i="1" s="1"/>
  <c r="T127" i="1"/>
  <c r="V127" i="1" s="1"/>
  <c r="P171" i="1"/>
  <c r="Z170" i="1" s="1"/>
  <c r="AA170" i="1" s="1"/>
  <c r="T132" i="1"/>
  <c r="V132" i="1" s="1"/>
  <c r="AE34" i="1"/>
  <c r="O24" i="1"/>
  <c r="P24" i="1" s="1"/>
  <c r="T24" i="1" s="1"/>
  <c r="V24" i="1" s="1"/>
  <c r="T91" i="1"/>
  <c r="V91" i="1" s="1"/>
  <c r="W20" i="3"/>
  <c r="O82" i="1"/>
  <c r="P82" i="1" s="1"/>
  <c r="Q82" i="1" s="1"/>
  <c r="AE82" i="1"/>
  <c r="O72" i="1"/>
  <c r="P72" i="1" s="1"/>
  <c r="T31" i="1"/>
  <c r="V31" i="1" s="1"/>
  <c r="O34" i="1"/>
  <c r="P34" i="1" s="1"/>
  <c r="Z10" i="1"/>
  <c r="AA10" i="1" s="1"/>
  <c r="Z11" i="1"/>
  <c r="AA11" i="1" s="1"/>
  <c r="AF13" i="1"/>
  <c r="Z12" i="1"/>
  <c r="AA12" i="1" s="1"/>
  <c r="K13" i="3"/>
  <c r="D54" i="3"/>
  <c r="K20" i="3"/>
  <c r="C40" i="3"/>
  <c r="C45" i="3" s="1"/>
  <c r="C39" i="3"/>
  <c r="E13" i="3"/>
  <c r="H13" i="3" s="1"/>
  <c r="I21" i="3"/>
  <c r="I25" i="3"/>
  <c r="C55" i="3"/>
  <c r="C57" i="3" s="1"/>
  <c r="C61" i="3" s="1"/>
  <c r="K21" i="3"/>
  <c r="J21" i="3"/>
  <c r="AD182" i="1"/>
  <c r="AF182" i="1" s="1"/>
  <c r="R182" i="1"/>
  <c r="U167" i="1"/>
  <c r="W167" i="1" s="1"/>
  <c r="T167" i="1"/>
  <c r="V167" i="1" s="1"/>
  <c r="U128" i="1"/>
  <c r="W128" i="1" s="1"/>
  <c r="T128" i="1"/>
  <c r="V128" i="1" s="1"/>
  <c r="Z115" i="1"/>
  <c r="AA115" i="1" s="1"/>
  <c r="Z112" i="1"/>
  <c r="AA112" i="1" s="1"/>
  <c r="U178" i="1"/>
  <c r="W178" i="1" s="1"/>
  <c r="T178" i="1"/>
  <c r="V178" i="1" s="1"/>
  <c r="R171" i="1"/>
  <c r="AD171" i="1"/>
  <c r="AF171" i="1" s="1"/>
  <c r="U13" i="1"/>
  <c r="W13" i="1" s="1"/>
  <c r="T13" i="1"/>
  <c r="V13" i="1" s="1"/>
  <c r="Q13" i="1"/>
  <c r="Z9" i="1"/>
  <c r="AA9" i="1" s="1"/>
  <c r="T99" i="1"/>
  <c r="V99" i="1" s="1"/>
  <c r="U99" i="1"/>
  <c r="W99" i="1" s="1"/>
  <c r="T200" i="1"/>
  <c r="V200" i="1" s="1"/>
  <c r="U200" i="1"/>
  <c r="W200" i="1" s="1"/>
  <c r="U153" i="1"/>
  <c r="W153" i="1" s="1"/>
  <c r="T10" i="1"/>
  <c r="V10" i="1" s="1"/>
  <c r="U144" i="1"/>
  <c r="W144" i="1" s="1"/>
  <c r="T33" i="1"/>
  <c r="V33" i="1" s="1"/>
  <c r="U33" i="1"/>
  <c r="W33" i="1" s="1"/>
  <c r="T79" i="1"/>
  <c r="V79" i="1" s="1"/>
  <c r="U79" i="1"/>
  <c r="W79" i="1" s="1"/>
  <c r="AD82" i="1"/>
  <c r="R82" i="1"/>
  <c r="AD159" i="1"/>
  <c r="AF159" i="1" s="1"/>
  <c r="R159" i="1"/>
  <c r="U98" i="1"/>
  <c r="W98" i="1" s="1"/>
  <c r="T98" i="1"/>
  <c r="V98" i="1" s="1"/>
  <c r="T143" i="1"/>
  <c r="V143" i="1" s="1"/>
  <c r="P159" i="1"/>
  <c r="R34" i="1"/>
  <c r="AD34" i="1"/>
  <c r="T166" i="1"/>
  <c r="V166" i="1" s="1"/>
  <c r="U166" i="1"/>
  <c r="W166" i="1" s="1"/>
  <c r="T80" i="1"/>
  <c r="V80" i="1" s="1"/>
  <c r="U192" i="1"/>
  <c r="W192" i="1" s="1"/>
  <c r="T192" i="1"/>
  <c r="V192" i="1" s="1"/>
  <c r="Q192" i="1"/>
  <c r="Z189" i="1"/>
  <c r="AA189" i="1" s="1"/>
  <c r="AA192" i="1" s="1"/>
  <c r="Z191" i="1"/>
  <c r="AA191" i="1" s="1"/>
  <c r="AD101" i="1"/>
  <c r="R101" i="1"/>
  <c r="P182" i="1"/>
  <c r="U117" i="1"/>
  <c r="W117" i="1" s="1"/>
  <c r="Z109" i="1"/>
  <c r="AA109" i="1" s="1"/>
  <c r="T117" i="1"/>
  <c r="V117" i="1" s="1"/>
  <c r="Z113" i="1"/>
  <c r="AA113" i="1" s="1"/>
  <c r="Q117" i="1"/>
  <c r="Z114" i="1"/>
  <c r="AA114" i="1" s="1"/>
  <c r="Z108" i="1"/>
  <c r="AA108" i="1" s="1"/>
  <c r="Z111" i="1"/>
  <c r="AA111" i="1" s="1"/>
  <c r="Z110" i="1"/>
  <c r="AA110" i="1" s="1"/>
  <c r="T201" i="1" l="1"/>
  <c r="V201" i="1" s="1"/>
  <c r="Z199" i="1"/>
  <c r="AA199" i="1" s="1"/>
  <c r="AA201" i="1" s="1"/>
  <c r="AF101" i="1"/>
  <c r="Z142" i="1"/>
  <c r="AA142" i="1" s="1"/>
  <c r="U201" i="1"/>
  <c r="W201" i="1" s="1"/>
  <c r="Z145" i="1"/>
  <c r="AA145" i="1" s="1"/>
  <c r="W22" i="3"/>
  <c r="W23" i="3" s="1"/>
  <c r="W24" i="3" s="1"/>
  <c r="Z200" i="1"/>
  <c r="AA200" i="1" s="1"/>
  <c r="Q146" i="1"/>
  <c r="Z143" i="1"/>
  <c r="AA143" i="1" s="1"/>
  <c r="T146" i="1"/>
  <c r="V146" i="1" s="1"/>
  <c r="AH132" i="1"/>
  <c r="AH126" i="1" s="1"/>
  <c r="AJ126" i="1" s="1"/>
  <c r="BA132" i="1"/>
  <c r="BU132" i="1" s="1"/>
  <c r="BU133" i="1" s="1"/>
  <c r="AC132" i="1"/>
  <c r="AG132" i="1" s="1"/>
  <c r="AG124" i="1" s="1"/>
  <c r="Z140" i="1"/>
  <c r="AA140" i="1" s="1"/>
  <c r="Z139" i="1"/>
  <c r="AA139" i="1" s="1"/>
  <c r="AA146" i="1" s="1"/>
  <c r="AH146" i="1" s="1"/>
  <c r="AH143" i="1" s="1"/>
  <c r="AJ143" i="1" s="1"/>
  <c r="Z141" i="1"/>
  <c r="AA141" i="1" s="1"/>
  <c r="U146" i="1"/>
  <c r="W146" i="1" s="1"/>
  <c r="AA91" i="1"/>
  <c r="AH91" i="1" s="1"/>
  <c r="AH90" i="1" s="1"/>
  <c r="AJ90" i="1" s="1"/>
  <c r="AX132" i="1"/>
  <c r="BE132" i="1" s="1"/>
  <c r="Z98" i="1"/>
  <c r="AA98" i="1" s="1"/>
  <c r="Z166" i="1"/>
  <c r="AA166" i="1" s="1"/>
  <c r="AA171" i="1" s="1"/>
  <c r="AX171" i="1" s="1"/>
  <c r="Z99" i="1"/>
  <c r="AA99" i="1" s="1"/>
  <c r="Q101" i="1"/>
  <c r="Q24" i="1"/>
  <c r="U101" i="1"/>
  <c r="W101" i="1" s="1"/>
  <c r="Z167" i="1"/>
  <c r="AA167" i="1" s="1"/>
  <c r="Z168" i="1"/>
  <c r="AA168" i="1" s="1"/>
  <c r="Q171" i="1"/>
  <c r="U171" i="1"/>
  <c r="W171" i="1" s="1"/>
  <c r="Z169" i="1"/>
  <c r="AA169" i="1" s="1"/>
  <c r="Z20" i="1"/>
  <c r="AA20" i="1" s="1"/>
  <c r="AF34" i="1"/>
  <c r="U24" i="1"/>
  <c r="W24" i="1" s="1"/>
  <c r="Z22" i="1"/>
  <c r="AA22" i="1" s="1"/>
  <c r="T171" i="1"/>
  <c r="V171" i="1" s="1"/>
  <c r="AA13" i="1"/>
  <c r="AX13" i="1" s="1"/>
  <c r="Z21" i="1"/>
  <c r="AA21" i="1" s="1"/>
  <c r="Z71" i="1"/>
  <c r="AA71" i="1" s="1"/>
  <c r="AA72" i="1" s="1"/>
  <c r="T72" i="1"/>
  <c r="V72" i="1" s="1"/>
  <c r="U72" i="1"/>
  <c r="W72" i="1" s="1"/>
  <c r="Q72" i="1"/>
  <c r="Z80" i="1"/>
  <c r="AA80" i="1" s="1"/>
  <c r="Z79" i="1"/>
  <c r="AA79" i="1" s="1"/>
  <c r="Z81" i="1"/>
  <c r="AA81" i="1" s="1"/>
  <c r="T82" i="1"/>
  <c r="V82" i="1" s="1"/>
  <c r="AF82" i="1"/>
  <c r="U82" i="1"/>
  <c r="W82" i="1" s="1"/>
  <c r="T101" i="1"/>
  <c r="V101" i="1" s="1"/>
  <c r="L13" i="3"/>
  <c r="D55" i="3"/>
  <c r="D57" i="3" s="1"/>
  <c r="D61" i="3" s="1"/>
  <c r="C41" i="3"/>
  <c r="C44" i="3"/>
  <c r="B47" i="3" s="1"/>
  <c r="J40" i="3"/>
  <c r="H39" i="3" s="1"/>
  <c r="N21" i="3"/>
  <c r="N23" i="3" s="1"/>
  <c r="N24" i="3" s="1"/>
  <c r="E53" i="3"/>
  <c r="I26" i="3"/>
  <c r="I31" i="3" s="1"/>
  <c r="K25" i="3"/>
  <c r="J25" i="3"/>
  <c r="BO201" i="1"/>
  <c r="AX201" i="1"/>
  <c r="AC201" i="1"/>
  <c r="AG201" i="1" s="1"/>
  <c r="BA201" i="1"/>
  <c r="BU201" i="1" s="1"/>
  <c r="BU202" i="1" s="1"/>
  <c r="AH201" i="1"/>
  <c r="BO192" i="1"/>
  <c r="AH192" i="1"/>
  <c r="BA192" i="1"/>
  <c r="BU192" i="1" s="1"/>
  <c r="BU193" i="1" s="1"/>
  <c r="AC192" i="1"/>
  <c r="AG192" i="1" s="1"/>
  <c r="AX192" i="1"/>
  <c r="AA117" i="1"/>
  <c r="Q34" i="1"/>
  <c r="T34" i="1"/>
  <c r="V34" i="1" s="1"/>
  <c r="U34" i="1"/>
  <c r="W34" i="1" s="1"/>
  <c r="Z32" i="1"/>
  <c r="AA32" i="1" s="1"/>
  <c r="Z31" i="1"/>
  <c r="AA31" i="1" s="1"/>
  <c r="Q182" i="1"/>
  <c r="Z179" i="1"/>
  <c r="AA179" i="1" s="1"/>
  <c r="U182" i="1"/>
  <c r="W182" i="1" s="1"/>
  <c r="T182" i="1"/>
  <c r="V182" i="1" s="1"/>
  <c r="Z178" i="1"/>
  <c r="AA178" i="1" s="1"/>
  <c r="AA182" i="1" s="1"/>
  <c r="Z180" i="1"/>
  <c r="AA180" i="1" s="1"/>
  <c r="Z181" i="1"/>
  <c r="AA181" i="1" s="1"/>
  <c r="Q159" i="1"/>
  <c r="T159" i="1"/>
  <c r="V159" i="1" s="1"/>
  <c r="Z156" i="1"/>
  <c r="AA156" i="1" s="1"/>
  <c r="U159" i="1"/>
  <c r="W159" i="1" s="1"/>
  <c r="Z158" i="1"/>
  <c r="AA158" i="1" s="1"/>
  <c r="Z155" i="1"/>
  <c r="AA155" i="1" s="1"/>
  <c r="Z157" i="1"/>
  <c r="AA157" i="1" s="1"/>
  <c r="Z153" i="1"/>
  <c r="AA153" i="1" s="1"/>
  <c r="AA159" i="1" s="1"/>
  <c r="Z154" i="1"/>
  <c r="AA154" i="1" s="1"/>
  <c r="AH127" i="1" l="1"/>
  <c r="AJ127" i="1" s="1"/>
  <c r="AG126" i="1"/>
  <c r="AG130" i="1"/>
  <c r="AG128" i="1"/>
  <c r="AG127" i="1"/>
  <c r="AX146" i="1"/>
  <c r="BE146" i="1" s="1"/>
  <c r="AC146" i="1"/>
  <c r="AG146" i="1" s="1"/>
  <c r="AG142" i="1" s="1"/>
  <c r="AH124" i="1"/>
  <c r="AJ124" i="1" s="1"/>
  <c r="AL124" i="1" s="1"/>
  <c r="AH128" i="1"/>
  <c r="AJ128" i="1" s="1"/>
  <c r="AO128" i="1" s="1"/>
  <c r="AP128" i="1" s="1"/>
  <c r="AH125" i="1"/>
  <c r="AJ125" i="1" s="1"/>
  <c r="AL125" i="1" s="1"/>
  <c r="AM125" i="1" s="1"/>
  <c r="AH130" i="1"/>
  <c r="AJ130" i="1" s="1"/>
  <c r="AO130" i="1" s="1"/>
  <c r="AP130" i="1" s="1"/>
  <c r="AG144" i="1"/>
  <c r="AG145" i="1"/>
  <c r="AH131" i="1"/>
  <c r="AJ131" i="1" s="1"/>
  <c r="AL131" i="1" s="1"/>
  <c r="AM131" i="1" s="1"/>
  <c r="AH141" i="1"/>
  <c r="AJ141" i="1" s="1"/>
  <c r="AL141" i="1" s="1"/>
  <c r="AM141" i="1" s="1"/>
  <c r="BO171" i="1"/>
  <c r="AH145" i="1"/>
  <c r="AJ145" i="1" s="1"/>
  <c r="AL145" i="1" s="1"/>
  <c r="AM145" i="1" s="1"/>
  <c r="AH144" i="1"/>
  <c r="AJ144" i="1" s="1"/>
  <c r="AL144" i="1" s="1"/>
  <c r="AM144" i="1" s="1"/>
  <c r="AC171" i="1"/>
  <c r="AG171" i="1" s="1"/>
  <c r="AG169" i="1" s="1"/>
  <c r="BC132" i="1"/>
  <c r="BD132" i="1" s="1"/>
  <c r="BQ132" i="1" s="1"/>
  <c r="BT132" i="1" s="1"/>
  <c r="BW132" i="1" s="1"/>
  <c r="BW133" i="1" s="1"/>
  <c r="BG132" i="1"/>
  <c r="BN132" i="1" s="1"/>
  <c r="AZ132" i="1"/>
  <c r="BA91" i="1"/>
  <c r="BU91" i="1" s="1"/>
  <c r="BU92" i="1" s="1"/>
  <c r="AH129" i="1"/>
  <c r="AJ129" i="1" s="1"/>
  <c r="AL129" i="1" s="1"/>
  <c r="AM129" i="1" s="1"/>
  <c r="AG125" i="1"/>
  <c r="BO146" i="1"/>
  <c r="AH139" i="1"/>
  <c r="AJ139" i="1" s="1"/>
  <c r="AJ146" i="1" s="1"/>
  <c r="AO146" i="1" s="1"/>
  <c r="AP146" i="1" s="1"/>
  <c r="AH140" i="1"/>
  <c r="AJ140" i="1" s="1"/>
  <c r="AO140" i="1" s="1"/>
  <c r="AP140" i="1" s="1"/>
  <c r="AH142" i="1"/>
  <c r="AJ142" i="1" s="1"/>
  <c r="AL142" i="1" s="1"/>
  <c r="AM142" i="1" s="1"/>
  <c r="AA101" i="1"/>
  <c r="AC101" i="1" s="1"/>
  <c r="AG101" i="1" s="1"/>
  <c r="AG100" i="1" s="1"/>
  <c r="AG131" i="1"/>
  <c r="BA146" i="1"/>
  <c r="BU146" i="1" s="1"/>
  <c r="BU147" i="1" s="1"/>
  <c r="AG129" i="1"/>
  <c r="AH89" i="1"/>
  <c r="AJ89" i="1" s="1"/>
  <c r="AJ91" i="1" s="1"/>
  <c r="AO91" i="1" s="1"/>
  <c r="AP91" i="1" s="1"/>
  <c r="AC91" i="1"/>
  <c r="AG91" i="1" s="1"/>
  <c r="AG90" i="1" s="1"/>
  <c r="AX91" i="1"/>
  <c r="AX93" i="1" s="1"/>
  <c r="AY93" i="1" s="1"/>
  <c r="BA171" i="1"/>
  <c r="BU171" i="1" s="1"/>
  <c r="BU172" i="1" s="1"/>
  <c r="AH171" i="1"/>
  <c r="AH166" i="1" s="1"/>
  <c r="AJ166" i="1" s="1"/>
  <c r="AX134" i="1"/>
  <c r="AY134" i="1" s="1"/>
  <c r="BO91" i="1"/>
  <c r="AG139" i="1"/>
  <c r="AG140" i="1"/>
  <c r="AA82" i="1"/>
  <c r="BA82" i="1" s="1"/>
  <c r="BU82" i="1" s="1"/>
  <c r="BU83" i="1" s="1"/>
  <c r="AA34" i="1"/>
  <c r="BA34" i="1" s="1"/>
  <c r="BU34" i="1" s="1"/>
  <c r="BU35" i="1" s="1"/>
  <c r="AC13" i="1"/>
  <c r="AG13" i="1" s="1"/>
  <c r="AH13" i="1" s="1"/>
  <c r="AH12" i="1" s="1"/>
  <c r="AJ12" i="1" s="1"/>
  <c r="AA24" i="1"/>
  <c r="AX72" i="1"/>
  <c r="AX74" i="1" s="1"/>
  <c r="AY74" i="1" s="1"/>
  <c r="AC72" i="1"/>
  <c r="AG72" i="1" s="1"/>
  <c r="AH72" i="1" s="1"/>
  <c r="I34" i="3"/>
  <c r="B48" i="3"/>
  <c r="I61" i="3" s="1"/>
  <c r="F45" i="3"/>
  <c r="J26" i="3"/>
  <c r="K34" i="3" s="1"/>
  <c r="E55" i="3"/>
  <c r="K26" i="3"/>
  <c r="J34" i="3" s="1"/>
  <c r="E54" i="3"/>
  <c r="I28" i="3"/>
  <c r="F53" i="3"/>
  <c r="I33" i="3"/>
  <c r="I30" i="3"/>
  <c r="I35" i="3"/>
  <c r="I29" i="3"/>
  <c r="I36" i="3"/>
  <c r="N25" i="3"/>
  <c r="G55" i="3"/>
  <c r="G57" i="3" s="1"/>
  <c r="G61" i="3" s="1"/>
  <c r="AH117" i="1"/>
  <c r="AX117" i="1"/>
  <c r="AC117" i="1"/>
  <c r="AG117" i="1" s="1"/>
  <c r="AO90" i="1"/>
  <c r="AP90" i="1" s="1"/>
  <c r="AL90" i="1"/>
  <c r="AM90" i="1" s="1"/>
  <c r="AH199" i="1"/>
  <c r="AJ199" i="1" s="1"/>
  <c r="AH200" i="1"/>
  <c r="AJ200" i="1" s="1"/>
  <c r="AG199" i="1"/>
  <c r="AG200" i="1"/>
  <c r="BC171" i="1"/>
  <c r="BD171" i="1" s="1"/>
  <c r="AX173" i="1"/>
  <c r="AY173" i="1" s="1"/>
  <c r="BG171" i="1"/>
  <c r="BE171" i="1"/>
  <c r="AZ171" i="1"/>
  <c r="AX203" i="1"/>
  <c r="AY203" i="1" s="1"/>
  <c r="BE201" i="1"/>
  <c r="BC201" i="1"/>
  <c r="BD201" i="1" s="1"/>
  <c r="AZ201" i="1"/>
  <c r="BG201" i="1"/>
  <c r="AO126" i="1"/>
  <c r="AP126" i="1" s="1"/>
  <c r="AL126" i="1"/>
  <c r="AM126" i="1" s="1"/>
  <c r="BE192" i="1"/>
  <c r="AZ192" i="1"/>
  <c r="AX194" i="1"/>
  <c r="AY194" i="1" s="1"/>
  <c r="BG192" i="1"/>
  <c r="BC192" i="1"/>
  <c r="BD192" i="1" s="1"/>
  <c r="AO127" i="1"/>
  <c r="AP127" i="1" s="1"/>
  <c r="AL127" i="1"/>
  <c r="AM127" i="1" s="1"/>
  <c r="BO182" i="1"/>
  <c r="AX182" i="1"/>
  <c r="AH182" i="1"/>
  <c r="AC182" i="1"/>
  <c r="AG182" i="1" s="1"/>
  <c r="BA182" i="1"/>
  <c r="BU182" i="1" s="1"/>
  <c r="BU183" i="1" s="1"/>
  <c r="AG191" i="1"/>
  <c r="AG189" i="1"/>
  <c r="AG190" i="1"/>
  <c r="AZ13" i="1"/>
  <c r="BA13" i="1" s="1"/>
  <c r="BU13" i="1" s="1"/>
  <c r="BU14" i="1" s="1"/>
  <c r="BE13" i="1"/>
  <c r="BG13" i="1"/>
  <c r="AX15" i="1"/>
  <c r="AY15" i="1" s="1"/>
  <c r="BC13" i="1"/>
  <c r="BD13" i="1" s="1"/>
  <c r="AH191" i="1"/>
  <c r="AJ191" i="1" s="1"/>
  <c r="AH189" i="1"/>
  <c r="AJ189" i="1" s="1"/>
  <c r="AH190" i="1"/>
  <c r="AJ190" i="1" s="1"/>
  <c r="AL143" i="1"/>
  <c r="AM143" i="1" s="1"/>
  <c r="AO143" i="1"/>
  <c r="AP143" i="1" s="1"/>
  <c r="BO159" i="1"/>
  <c r="AX159" i="1"/>
  <c r="AH159" i="1"/>
  <c r="AC159" i="1"/>
  <c r="AG159" i="1" s="1"/>
  <c r="BA159" i="1"/>
  <c r="BU159" i="1" s="1"/>
  <c r="BU160" i="1" s="1"/>
  <c r="AG141" i="1" l="1"/>
  <c r="AG143" i="1"/>
  <c r="AO125" i="1"/>
  <c r="AP125" i="1" s="1"/>
  <c r="AO129" i="1"/>
  <c r="AP129" i="1" s="1"/>
  <c r="AL130" i="1"/>
  <c r="AM130" i="1" s="1"/>
  <c r="AL140" i="1"/>
  <c r="AM140" i="1" s="1"/>
  <c r="AL128" i="1"/>
  <c r="AM128" i="1" s="1"/>
  <c r="AO142" i="1"/>
  <c r="AP142" i="1" s="1"/>
  <c r="AS142" i="1" s="1"/>
  <c r="AU142" i="1" s="1"/>
  <c r="AO145" i="1"/>
  <c r="AP145" i="1" s="1"/>
  <c r="AR145" i="1" s="1"/>
  <c r="AT145" i="1" s="1"/>
  <c r="AO141" i="1"/>
  <c r="AP141" i="1" s="1"/>
  <c r="AL139" i="1"/>
  <c r="AM139" i="1" s="1"/>
  <c r="AZ146" i="1"/>
  <c r="AG11" i="1"/>
  <c r="AG12" i="1"/>
  <c r="AJ132" i="1"/>
  <c r="AO132" i="1" s="1"/>
  <c r="AP132" i="1" s="1"/>
  <c r="AH170" i="1"/>
  <c r="AJ170" i="1" s="1"/>
  <c r="AO170" i="1" s="1"/>
  <c r="AP170" i="1" s="1"/>
  <c r="BC146" i="1"/>
  <c r="BD146" i="1" s="1"/>
  <c r="BQ146" i="1" s="1"/>
  <c r="BT146" i="1" s="1"/>
  <c r="BW146" i="1" s="1"/>
  <c r="BW147" i="1" s="1"/>
  <c r="AX148" i="1"/>
  <c r="AY148" i="1" s="1"/>
  <c r="BG146" i="1"/>
  <c r="BN146" i="1" s="1"/>
  <c r="AG167" i="1"/>
  <c r="AO144" i="1"/>
  <c r="AP144" i="1" s="1"/>
  <c r="AS144" i="1" s="1"/>
  <c r="AU144" i="1" s="1"/>
  <c r="AG166" i="1"/>
  <c r="BP132" i="1"/>
  <c r="BS132" i="1" s="1"/>
  <c r="BV132" i="1" s="1"/>
  <c r="BV133" i="1" s="1"/>
  <c r="AO124" i="1"/>
  <c r="AP124" i="1" s="1"/>
  <c r="AH168" i="1"/>
  <c r="AJ168" i="1" s="1"/>
  <c r="AO168" i="1" s="1"/>
  <c r="AP168" i="1" s="1"/>
  <c r="AG170" i="1"/>
  <c r="AG168" i="1"/>
  <c r="AO139" i="1"/>
  <c r="AP139" i="1" s="1"/>
  <c r="AO131" i="1"/>
  <c r="AP131" i="1" s="1"/>
  <c r="AS131" i="1" s="1"/>
  <c r="AU131" i="1" s="1"/>
  <c r="AH169" i="1"/>
  <c r="AJ169" i="1" s="1"/>
  <c r="AO169" i="1" s="1"/>
  <c r="AP169" i="1" s="1"/>
  <c r="AH167" i="1"/>
  <c r="AJ167" i="1" s="1"/>
  <c r="AO167" i="1" s="1"/>
  <c r="AP167" i="1" s="1"/>
  <c r="BG91" i="1"/>
  <c r="BE91" i="1"/>
  <c r="AO89" i="1"/>
  <c r="AP89" i="1" s="1"/>
  <c r="AL89" i="1"/>
  <c r="BC91" i="1"/>
  <c r="BD91" i="1" s="1"/>
  <c r="BQ91" i="1" s="1"/>
  <c r="BT91" i="1" s="1"/>
  <c r="BW91" i="1" s="1"/>
  <c r="BW92" i="1" s="1"/>
  <c r="BO34" i="1"/>
  <c r="AZ91" i="1"/>
  <c r="AG98" i="1"/>
  <c r="AG99" i="1"/>
  <c r="AG89" i="1"/>
  <c r="BO101" i="1"/>
  <c r="AG10" i="1"/>
  <c r="AH101" i="1"/>
  <c r="AH100" i="1" s="1"/>
  <c r="AJ100" i="1" s="1"/>
  <c r="AX101" i="1"/>
  <c r="BA101" i="1"/>
  <c r="BU101" i="1" s="1"/>
  <c r="BU102" i="1" s="1"/>
  <c r="AX82" i="1"/>
  <c r="AZ82" i="1" s="1"/>
  <c r="AH34" i="1"/>
  <c r="AH31" i="1" s="1"/>
  <c r="AJ31" i="1" s="1"/>
  <c r="AG9" i="1"/>
  <c r="AC82" i="1"/>
  <c r="AG82" i="1" s="1"/>
  <c r="AH9" i="1"/>
  <c r="AJ9" i="1" s="1"/>
  <c r="AL9" i="1" s="1"/>
  <c r="BO82" i="1"/>
  <c r="AH10" i="1"/>
  <c r="AJ10" i="1" s="1"/>
  <c r="AO10" i="1" s="1"/>
  <c r="AP10" i="1" s="1"/>
  <c r="AH11" i="1"/>
  <c r="AJ11" i="1" s="1"/>
  <c r="AL11" i="1" s="1"/>
  <c r="AM11" i="1" s="1"/>
  <c r="AH82" i="1"/>
  <c r="AX34" i="1"/>
  <c r="AX36" i="1" s="1"/>
  <c r="AY36" i="1" s="1"/>
  <c r="AC34" i="1"/>
  <c r="AG34" i="1" s="1"/>
  <c r="AG31" i="1" s="1"/>
  <c r="AH71" i="1"/>
  <c r="AJ71" i="1" s="1"/>
  <c r="AO71" i="1" s="1"/>
  <c r="AP71" i="1" s="1"/>
  <c r="AC24" i="1"/>
  <c r="AG24" i="1" s="1"/>
  <c r="AX24" i="1"/>
  <c r="BA24" i="1"/>
  <c r="BU24" i="1" s="1"/>
  <c r="BU25" i="1" s="1"/>
  <c r="BO24" i="1"/>
  <c r="AH24" i="1"/>
  <c r="AG70" i="1"/>
  <c r="BE72" i="1"/>
  <c r="BC72" i="1"/>
  <c r="BD72" i="1" s="1"/>
  <c r="BG72" i="1"/>
  <c r="AZ72" i="1"/>
  <c r="BA72" i="1" s="1"/>
  <c r="BU72" i="1" s="1"/>
  <c r="BU73" i="1" s="1"/>
  <c r="AG71" i="1"/>
  <c r="AH70" i="1"/>
  <c r="AJ70" i="1" s="1"/>
  <c r="AL70" i="1" s="1"/>
  <c r="BN171" i="1"/>
  <c r="J31" i="3"/>
  <c r="E57" i="3"/>
  <c r="E61" i="3" s="1"/>
  <c r="BN201" i="1"/>
  <c r="BN192" i="1"/>
  <c r="K31" i="3"/>
  <c r="J33" i="3"/>
  <c r="F55" i="3"/>
  <c r="K30" i="3"/>
  <c r="J35" i="3"/>
  <c r="K28" i="3"/>
  <c r="K29" i="3"/>
  <c r="J36" i="3"/>
  <c r="K33" i="3"/>
  <c r="F54" i="3"/>
  <c r="J30" i="3"/>
  <c r="K35" i="3"/>
  <c r="J28" i="3"/>
  <c r="J29" i="3"/>
  <c r="K36" i="3"/>
  <c r="BC159" i="1"/>
  <c r="BD159" i="1" s="1"/>
  <c r="AX161" i="1"/>
  <c r="AY161" i="1" s="1"/>
  <c r="AZ159" i="1"/>
  <c r="BE159" i="1"/>
  <c r="BG159" i="1"/>
  <c r="AK139" i="1"/>
  <c r="AK146" i="1" s="1"/>
  <c r="AO200" i="1"/>
  <c r="AP200" i="1" s="1"/>
  <c r="AL200" i="1"/>
  <c r="AM200" i="1" s="1"/>
  <c r="AL199" i="1"/>
  <c r="AJ201" i="1"/>
  <c r="AO201" i="1" s="1"/>
  <c r="AP201" i="1" s="1"/>
  <c r="AO199" i="1"/>
  <c r="AP199" i="1" s="1"/>
  <c r="AL12" i="1"/>
  <c r="AM12" i="1" s="1"/>
  <c r="AO12" i="1"/>
  <c r="AP12" i="1" s="1"/>
  <c r="AK140" i="1"/>
  <c r="AJ171" i="1"/>
  <c r="AO171" i="1" s="1"/>
  <c r="AP171" i="1" s="1"/>
  <c r="AO166" i="1"/>
  <c r="AP166" i="1" s="1"/>
  <c r="AL166" i="1"/>
  <c r="AK90" i="1"/>
  <c r="AS140" i="1"/>
  <c r="AU140" i="1" s="1"/>
  <c r="AR140" i="1"/>
  <c r="AT140" i="1" s="1"/>
  <c r="AN140" i="1"/>
  <c r="AO190" i="1"/>
  <c r="AP190" i="1" s="1"/>
  <c r="AL190" i="1"/>
  <c r="AM190" i="1" s="1"/>
  <c r="AO189" i="1"/>
  <c r="AP189" i="1" s="1"/>
  <c r="AL189" i="1"/>
  <c r="AJ192" i="1"/>
  <c r="AO192" i="1" s="1"/>
  <c r="AP192" i="1" s="1"/>
  <c r="AG180" i="1"/>
  <c r="AG179" i="1"/>
  <c r="AG178" i="1"/>
  <c r="AG181" i="1"/>
  <c r="BQ171" i="1"/>
  <c r="BT171" i="1" s="1"/>
  <c r="BW171" i="1" s="1"/>
  <c r="BW172" i="1" s="1"/>
  <c r="BP171" i="1"/>
  <c r="BS171" i="1" s="1"/>
  <c r="BV171" i="1" s="1"/>
  <c r="BV172" i="1" s="1"/>
  <c r="AS128" i="1"/>
  <c r="AU128" i="1" s="1"/>
  <c r="AN128" i="1"/>
  <c r="AR128" i="1"/>
  <c r="AT128" i="1" s="1"/>
  <c r="AH179" i="1"/>
  <c r="AJ179" i="1" s="1"/>
  <c r="AH178" i="1"/>
  <c r="AJ178" i="1" s="1"/>
  <c r="AH180" i="1"/>
  <c r="AJ180" i="1" s="1"/>
  <c r="AH181" i="1"/>
  <c r="AJ181" i="1" s="1"/>
  <c r="BQ192" i="1"/>
  <c r="BT192" i="1" s="1"/>
  <c r="BW192" i="1" s="1"/>
  <c r="BW193" i="1" s="1"/>
  <c r="BP192" i="1"/>
  <c r="BS192" i="1" s="1"/>
  <c r="BV192" i="1" s="1"/>
  <c r="BV193" i="1" s="1"/>
  <c r="AG113" i="1"/>
  <c r="AG110" i="1"/>
  <c r="AG109" i="1"/>
  <c r="AG114" i="1"/>
  <c r="AG111" i="1"/>
  <c r="AG108" i="1"/>
  <c r="AG112" i="1"/>
  <c r="AG115" i="1"/>
  <c r="AG116" i="1"/>
  <c r="AL191" i="1"/>
  <c r="AM191" i="1" s="1"/>
  <c r="AO191" i="1"/>
  <c r="AP191" i="1" s="1"/>
  <c r="AL91" i="1"/>
  <c r="AM91" i="1" s="1"/>
  <c r="AM89" i="1"/>
  <c r="AK143" i="1"/>
  <c r="AK89" i="1"/>
  <c r="AK145" i="1"/>
  <c r="AX184" i="1"/>
  <c r="AY184" i="1" s="1"/>
  <c r="BG182" i="1"/>
  <c r="BE182" i="1"/>
  <c r="BC182" i="1"/>
  <c r="BD182" i="1" s="1"/>
  <c r="AZ182" i="1"/>
  <c r="BC117" i="1"/>
  <c r="BD117" i="1" s="1"/>
  <c r="AX119" i="1"/>
  <c r="AY119" i="1" s="1"/>
  <c r="BG117" i="1"/>
  <c r="BE117" i="1"/>
  <c r="AZ117" i="1"/>
  <c r="BA117" i="1" s="1"/>
  <c r="BU117" i="1" s="1"/>
  <c r="BU118" i="1" s="1"/>
  <c r="AN143" i="1"/>
  <c r="AS143" i="1"/>
  <c r="AU143" i="1" s="1"/>
  <c r="AR143" i="1"/>
  <c r="AT143" i="1" s="1"/>
  <c r="AN145" i="1"/>
  <c r="BQ201" i="1"/>
  <c r="BT201" i="1" s="1"/>
  <c r="BW201" i="1" s="1"/>
  <c r="BW202" i="1" s="1"/>
  <c r="BP201" i="1"/>
  <c r="BS201" i="1" s="1"/>
  <c r="BV201" i="1" s="1"/>
  <c r="BV202" i="1" s="1"/>
  <c r="AS130" i="1"/>
  <c r="AU130" i="1" s="1"/>
  <c r="AR130" i="1"/>
  <c r="AT130" i="1" s="1"/>
  <c r="AN130" i="1"/>
  <c r="AN131" i="1"/>
  <c r="BE34" i="1"/>
  <c r="AH110" i="1"/>
  <c r="AJ110" i="1" s="1"/>
  <c r="AH109" i="1"/>
  <c r="AJ109" i="1" s="1"/>
  <c r="AH114" i="1"/>
  <c r="AJ114" i="1" s="1"/>
  <c r="AH111" i="1"/>
  <c r="AJ111" i="1" s="1"/>
  <c r="AH108" i="1"/>
  <c r="AJ108" i="1" s="1"/>
  <c r="AH112" i="1"/>
  <c r="AJ112" i="1" s="1"/>
  <c r="AH115" i="1"/>
  <c r="AJ115" i="1" s="1"/>
  <c r="AH116" i="1"/>
  <c r="AJ116" i="1" s="1"/>
  <c r="AH113" i="1"/>
  <c r="AJ113" i="1" s="1"/>
  <c r="AN90" i="1"/>
  <c r="AS90" i="1"/>
  <c r="AU90" i="1" s="1"/>
  <c r="AR90" i="1"/>
  <c r="AT90" i="1" s="1"/>
  <c r="BN13" i="1"/>
  <c r="BO13" i="1" s="1"/>
  <c r="BP13" i="1" s="1"/>
  <c r="BS13" i="1" s="1"/>
  <c r="BV13" i="1" s="1"/>
  <c r="BV14" i="1" s="1"/>
  <c r="AS127" i="1"/>
  <c r="AU127" i="1" s="1"/>
  <c r="AR127" i="1"/>
  <c r="AT127" i="1" s="1"/>
  <c r="AN127" i="1"/>
  <c r="AK144" i="1"/>
  <c r="AN144" i="1"/>
  <c r="AS141" i="1"/>
  <c r="AU141" i="1" s="1"/>
  <c r="AR141" i="1"/>
  <c r="AT141" i="1" s="1"/>
  <c r="AN141" i="1"/>
  <c r="AS126" i="1"/>
  <c r="AU126" i="1" s="1"/>
  <c r="AR126" i="1"/>
  <c r="AT126" i="1" s="1"/>
  <c r="AN126" i="1"/>
  <c r="AR125" i="1"/>
  <c r="AT125" i="1" s="1"/>
  <c r="AN125" i="1"/>
  <c r="AS125" i="1"/>
  <c r="AU125" i="1" s="1"/>
  <c r="AK141" i="1"/>
  <c r="AR129" i="1"/>
  <c r="AT129" i="1" s="1"/>
  <c r="AN129" i="1"/>
  <c r="AS129" i="1"/>
  <c r="AU129" i="1" s="1"/>
  <c r="AG155" i="1"/>
  <c r="AG153" i="1"/>
  <c r="AG158" i="1"/>
  <c r="AG156" i="1"/>
  <c r="AG157" i="1"/>
  <c r="AG154" i="1"/>
  <c r="AK142" i="1"/>
  <c r="AH157" i="1"/>
  <c r="AJ157" i="1" s="1"/>
  <c r="AH153" i="1"/>
  <c r="AJ153" i="1" s="1"/>
  <c r="AH156" i="1"/>
  <c r="AJ156" i="1" s="1"/>
  <c r="AH155" i="1"/>
  <c r="AJ155" i="1" s="1"/>
  <c r="AH158" i="1"/>
  <c r="AJ158" i="1" s="1"/>
  <c r="AH154" i="1"/>
  <c r="AJ154" i="1" s="1"/>
  <c r="AN142" i="1"/>
  <c r="AL132" i="1"/>
  <c r="AM124" i="1"/>
  <c r="AR142" i="1" l="1"/>
  <c r="AT142" i="1" s="1"/>
  <c r="AK125" i="1"/>
  <c r="AS145" i="1"/>
  <c r="AU145" i="1" s="1"/>
  <c r="AL168" i="1"/>
  <c r="AM168" i="1" s="1"/>
  <c r="AR131" i="1"/>
  <c r="AT131" i="1" s="1"/>
  <c r="AL146" i="1"/>
  <c r="AM146" i="1" s="1"/>
  <c r="AR146" i="1" s="1"/>
  <c r="AT146" i="1" s="1"/>
  <c r="AO100" i="1"/>
  <c r="AP100" i="1" s="1"/>
  <c r="AL100" i="1"/>
  <c r="AM100" i="1" s="1"/>
  <c r="AK126" i="1"/>
  <c r="BC82" i="1"/>
  <c r="BD82" i="1" s="1"/>
  <c r="AK130" i="1"/>
  <c r="AK128" i="1"/>
  <c r="AM132" i="1"/>
  <c r="AT134" i="1" s="1"/>
  <c r="AK129" i="1"/>
  <c r="AL170" i="1"/>
  <c r="AM170" i="1" s="1"/>
  <c r="AS170" i="1" s="1"/>
  <c r="AU170" i="1" s="1"/>
  <c r="AK127" i="1"/>
  <c r="AR144" i="1"/>
  <c r="AT144" i="1" s="1"/>
  <c r="AK124" i="1"/>
  <c r="AK132" i="1" s="1"/>
  <c r="AK131" i="1"/>
  <c r="BG34" i="1"/>
  <c r="BN34" i="1" s="1"/>
  <c r="AZ34" i="1"/>
  <c r="AH33" i="1"/>
  <c r="AJ33" i="1" s="1"/>
  <c r="AO33" i="1" s="1"/>
  <c r="AP33" i="1" s="1"/>
  <c r="AH32" i="1"/>
  <c r="AJ32" i="1" s="1"/>
  <c r="AO32" i="1" s="1"/>
  <c r="AP32" i="1" s="1"/>
  <c r="AO9" i="1"/>
  <c r="AP9" i="1" s="1"/>
  <c r="BC34" i="1"/>
  <c r="BD34" i="1" s="1"/>
  <c r="BQ34" i="1" s="1"/>
  <c r="BT34" i="1" s="1"/>
  <c r="BW34" i="1" s="1"/>
  <c r="BW35" i="1" s="1"/>
  <c r="BP146" i="1"/>
  <c r="BS146" i="1" s="1"/>
  <c r="BV146" i="1" s="1"/>
  <c r="BV147" i="1" s="1"/>
  <c r="AL167" i="1"/>
  <c r="AM167" i="1" s="1"/>
  <c r="AS167" i="1" s="1"/>
  <c r="AU167" i="1" s="1"/>
  <c r="AL169" i="1"/>
  <c r="AM169" i="1" s="1"/>
  <c r="AN169" i="1" s="1"/>
  <c r="BN91" i="1"/>
  <c r="AL10" i="1"/>
  <c r="AM10" i="1" s="1"/>
  <c r="AS10" i="1" s="1"/>
  <c r="AU10" i="1" s="1"/>
  <c r="BP91" i="1"/>
  <c r="BS91" i="1" s="1"/>
  <c r="BV91" i="1" s="1"/>
  <c r="BV92" i="1" s="1"/>
  <c r="AO11" i="1"/>
  <c r="AP11" i="1" s="1"/>
  <c r="AS11" i="1" s="1"/>
  <c r="AU11" i="1" s="1"/>
  <c r="BC101" i="1"/>
  <c r="BD101" i="1" s="1"/>
  <c r="AX103" i="1"/>
  <c r="AY103" i="1" s="1"/>
  <c r="BE101" i="1"/>
  <c r="BG101" i="1"/>
  <c r="AZ101" i="1"/>
  <c r="AH98" i="1"/>
  <c r="AJ98" i="1" s="1"/>
  <c r="AH99" i="1"/>
  <c r="AJ99" i="1" s="1"/>
  <c r="BG82" i="1"/>
  <c r="AX84" i="1"/>
  <c r="AY84" i="1" s="1"/>
  <c r="BE82" i="1"/>
  <c r="AG33" i="1"/>
  <c r="AG32" i="1"/>
  <c r="AL71" i="1"/>
  <c r="AM71" i="1" s="1"/>
  <c r="AN71" i="1" s="1"/>
  <c r="BP82" i="1"/>
  <c r="BS82" i="1" s="1"/>
  <c r="BV82" i="1" s="1"/>
  <c r="BV83" i="1" s="1"/>
  <c r="BQ82" i="1"/>
  <c r="BT82" i="1" s="1"/>
  <c r="BW82" i="1" s="1"/>
  <c r="BW83" i="1" s="1"/>
  <c r="AJ13" i="1"/>
  <c r="AO13" i="1" s="1"/>
  <c r="AP13" i="1" s="1"/>
  <c r="AG81" i="1"/>
  <c r="AG80" i="1"/>
  <c r="AG79" i="1"/>
  <c r="AH81" i="1"/>
  <c r="AJ81" i="1" s="1"/>
  <c r="AH80" i="1"/>
  <c r="AJ80" i="1" s="1"/>
  <c r="AH79" i="1"/>
  <c r="AJ79" i="1" s="1"/>
  <c r="AK91" i="1"/>
  <c r="AO70" i="1"/>
  <c r="AP70" i="1" s="1"/>
  <c r="AJ72" i="1"/>
  <c r="AK71" i="1" s="1"/>
  <c r="AH20" i="1"/>
  <c r="AJ20" i="1" s="1"/>
  <c r="AH21" i="1"/>
  <c r="AJ21" i="1" s="1"/>
  <c r="AH22" i="1"/>
  <c r="AJ22" i="1" s="1"/>
  <c r="AH23" i="1"/>
  <c r="AJ23" i="1" s="1"/>
  <c r="BG24" i="1"/>
  <c r="BE24" i="1"/>
  <c r="AX26" i="1"/>
  <c r="AY26" i="1" s="1"/>
  <c r="BC24" i="1"/>
  <c r="BD24" i="1" s="1"/>
  <c r="AZ24" i="1"/>
  <c r="AG20" i="1"/>
  <c r="AG23" i="1"/>
  <c r="AG22" i="1"/>
  <c r="AG21" i="1"/>
  <c r="BN72" i="1"/>
  <c r="BO72" i="1" s="1"/>
  <c r="BP72" i="1" s="1"/>
  <c r="BS72" i="1" s="1"/>
  <c r="BV72" i="1" s="1"/>
  <c r="BV73" i="1" s="1"/>
  <c r="BQ13" i="1"/>
  <c r="BT13" i="1" s="1"/>
  <c r="BW13" i="1" s="1"/>
  <c r="BW14" i="1" s="1"/>
  <c r="AM70" i="1"/>
  <c r="F57" i="3"/>
  <c r="F61" i="3" s="1"/>
  <c r="AK200" i="1"/>
  <c r="AK189" i="1"/>
  <c r="AK192" i="1" s="1"/>
  <c r="AK190" i="1"/>
  <c r="AK191" i="1"/>
  <c r="AO111" i="1"/>
  <c r="AP111" i="1" s="1"/>
  <c r="AL111" i="1"/>
  <c r="AM111" i="1" s="1"/>
  <c r="AL192" i="1"/>
  <c r="AM192" i="1" s="1"/>
  <c r="AM189" i="1"/>
  <c r="AU148" i="1"/>
  <c r="AT148" i="1"/>
  <c r="AS146" i="1"/>
  <c r="AU146" i="1" s="1"/>
  <c r="AO114" i="1"/>
  <c r="AP114" i="1" s="1"/>
  <c r="AL114" i="1"/>
  <c r="AM114" i="1" s="1"/>
  <c r="AR191" i="1"/>
  <c r="AT191" i="1" s="1"/>
  <c r="AN191" i="1"/>
  <c r="AS191" i="1"/>
  <c r="AU191" i="1" s="1"/>
  <c r="AK167" i="1"/>
  <c r="AR139" i="1"/>
  <c r="AT139" i="1" s="1"/>
  <c r="AN139" i="1"/>
  <c r="AS139" i="1"/>
  <c r="AU139" i="1" s="1"/>
  <c r="AO109" i="1"/>
  <c r="AP109" i="1" s="1"/>
  <c r="AL109" i="1"/>
  <c r="AM109" i="1" s="1"/>
  <c r="AO181" i="1"/>
  <c r="AP181" i="1" s="1"/>
  <c r="AL181" i="1"/>
  <c r="AM181" i="1" s="1"/>
  <c r="AR12" i="1"/>
  <c r="AT12" i="1" s="1"/>
  <c r="AN12" i="1"/>
  <c r="AS12" i="1"/>
  <c r="AU12" i="1" s="1"/>
  <c r="AO110" i="1"/>
  <c r="AP110" i="1" s="1"/>
  <c r="AL110" i="1"/>
  <c r="AM110" i="1" s="1"/>
  <c r="AL180" i="1"/>
  <c r="AM180" i="1" s="1"/>
  <c r="AO180" i="1"/>
  <c r="AP180" i="1" s="1"/>
  <c r="AO178" i="1"/>
  <c r="AP178" i="1" s="1"/>
  <c r="AL178" i="1"/>
  <c r="AJ182" i="1"/>
  <c r="AO182" i="1" s="1"/>
  <c r="AP182" i="1" s="1"/>
  <c r="AL179" i="1"/>
  <c r="AM179" i="1" s="1"/>
  <c r="AO179" i="1"/>
  <c r="AP179" i="1" s="1"/>
  <c r="AJ117" i="1"/>
  <c r="AO117" i="1" s="1"/>
  <c r="AP117" i="1" s="1"/>
  <c r="AO108" i="1"/>
  <c r="AP108" i="1" s="1"/>
  <c r="AL108" i="1"/>
  <c r="AS124" i="1"/>
  <c r="AU124" i="1" s="1"/>
  <c r="AR124" i="1"/>
  <c r="AT124" i="1" s="1"/>
  <c r="AN124" i="1"/>
  <c r="AM9" i="1"/>
  <c r="AS190" i="1"/>
  <c r="AU190" i="1" s="1"/>
  <c r="AR190" i="1"/>
  <c r="AT190" i="1" s="1"/>
  <c r="AN190" i="1"/>
  <c r="AS200" i="1"/>
  <c r="AU200" i="1" s="1"/>
  <c r="AR200" i="1"/>
  <c r="AT200" i="1" s="1"/>
  <c r="AN200" i="1"/>
  <c r="BP34" i="1"/>
  <c r="BS34" i="1" s="1"/>
  <c r="BV34" i="1" s="1"/>
  <c r="BV35" i="1" s="1"/>
  <c r="AL31" i="1"/>
  <c r="AO31" i="1"/>
  <c r="AP31" i="1" s="1"/>
  <c r="BQ182" i="1"/>
  <c r="BT182" i="1" s="1"/>
  <c r="BW182" i="1" s="1"/>
  <c r="BW183" i="1" s="1"/>
  <c r="BP182" i="1"/>
  <c r="BS182" i="1" s="1"/>
  <c r="BV182" i="1" s="1"/>
  <c r="BV183" i="1" s="1"/>
  <c r="AM199" i="1"/>
  <c r="AL201" i="1"/>
  <c r="AM201" i="1" s="1"/>
  <c r="AR168" i="1"/>
  <c r="AT168" i="1" s="1"/>
  <c r="AN168" i="1"/>
  <c r="AS168" i="1"/>
  <c r="AU168" i="1" s="1"/>
  <c r="AO154" i="1"/>
  <c r="AP154" i="1" s="1"/>
  <c r="AL154" i="1"/>
  <c r="AM154" i="1" s="1"/>
  <c r="BN182" i="1"/>
  <c r="AK199" i="1"/>
  <c r="AK201" i="1" s="1"/>
  <c r="AK168" i="1"/>
  <c r="AO158" i="1"/>
  <c r="AP158" i="1" s="1"/>
  <c r="AL158" i="1"/>
  <c r="AM158" i="1" s="1"/>
  <c r="AO155" i="1"/>
  <c r="AP155" i="1" s="1"/>
  <c r="AL155" i="1"/>
  <c r="AM155" i="1" s="1"/>
  <c r="AL156" i="1"/>
  <c r="AM156" i="1" s="1"/>
  <c r="AO156" i="1"/>
  <c r="AP156" i="1" s="1"/>
  <c r="AO113" i="1"/>
  <c r="AP113" i="1" s="1"/>
  <c r="AL113" i="1"/>
  <c r="AM113" i="1" s="1"/>
  <c r="BN117" i="1"/>
  <c r="BO117" i="1" s="1"/>
  <c r="BQ117" i="1" s="1"/>
  <c r="BT117" i="1" s="1"/>
  <c r="BW117" i="1" s="1"/>
  <c r="BW118" i="1" s="1"/>
  <c r="AK170" i="1"/>
  <c r="BN159" i="1"/>
  <c r="AO116" i="1"/>
  <c r="AP116" i="1" s="1"/>
  <c r="AL116" i="1"/>
  <c r="AM116" i="1" s="1"/>
  <c r="AL171" i="1"/>
  <c r="AM171" i="1" s="1"/>
  <c r="AM166" i="1"/>
  <c r="AN11" i="1"/>
  <c r="AJ159" i="1"/>
  <c r="AO159" i="1" s="1"/>
  <c r="AP159" i="1" s="1"/>
  <c r="AO153" i="1"/>
  <c r="AP153" i="1" s="1"/>
  <c r="AL153" i="1"/>
  <c r="AO115" i="1"/>
  <c r="AP115" i="1" s="1"/>
  <c r="AL115" i="1"/>
  <c r="AM115" i="1" s="1"/>
  <c r="AR89" i="1"/>
  <c r="AT89" i="1" s="1"/>
  <c r="AN89" i="1"/>
  <c r="AS89" i="1"/>
  <c r="AU89" i="1" s="1"/>
  <c r="AK166" i="1"/>
  <c r="AK171" i="1" s="1"/>
  <c r="AL157" i="1"/>
  <c r="AM157" i="1" s="1"/>
  <c r="AO157" i="1"/>
  <c r="AP157" i="1" s="1"/>
  <c r="AO112" i="1"/>
  <c r="AP112" i="1" s="1"/>
  <c r="AL112" i="1"/>
  <c r="AM112" i="1" s="1"/>
  <c r="AR91" i="1"/>
  <c r="AT91" i="1" s="1"/>
  <c r="AN91" i="1"/>
  <c r="AT93" i="1"/>
  <c r="AU93" i="1"/>
  <c r="AS91" i="1"/>
  <c r="AU91" i="1" s="1"/>
  <c r="AK169" i="1"/>
  <c r="BQ159" i="1"/>
  <c r="BT159" i="1" s="1"/>
  <c r="BW159" i="1" s="1"/>
  <c r="BW160" i="1" s="1"/>
  <c r="BP159" i="1"/>
  <c r="BS159" i="1" s="1"/>
  <c r="BV159" i="1" s="1"/>
  <c r="BV160" i="1" s="1"/>
  <c r="AR132" i="1" l="1"/>
  <c r="AT132" i="1" s="1"/>
  <c r="AS132" i="1"/>
  <c r="AU132" i="1" s="1"/>
  <c r="AU134" i="1"/>
  <c r="AR169" i="1"/>
  <c r="AT169" i="1" s="1"/>
  <c r="AS169" i="1"/>
  <c r="AU169" i="1" s="1"/>
  <c r="AN167" i="1"/>
  <c r="AN146" i="1"/>
  <c r="AL13" i="1"/>
  <c r="AM13" i="1" s="1"/>
  <c r="AN13" i="1" s="1"/>
  <c r="AS71" i="1"/>
  <c r="AU71" i="1" s="1"/>
  <c r="AS100" i="1"/>
  <c r="AU100" i="1" s="1"/>
  <c r="AN100" i="1"/>
  <c r="AR100" i="1"/>
  <c r="AT100" i="1" s="1"/>
  <c r="AN170" i="1"/>
  <c r="AR11" i="1"/>
  <c r="AT11" i="1" s="1"/>
  <c r="AR170" i="1"/>
  <c r="AT170" i="1" s="1"/>
  <c r="AN132" i="1"/>
  <c r="AL32" i="1"/>
  <c r="AM32" i="1" s="1"/>
  <c r="AS32" i="1" s="1"/>
  <c r="AU32" i="1" s="1"/>
  <c r="AJ34" i="1"/>
  <c r="AO34" i="1" s="1"/>
  <c r="AP34" i="1" s="1"/>
  <c r="AL33" i="1"/>
  <c r="AM33" i="1" s="1"/>
  <c r="AR33" i="1" s="1"/>
  <c r="AT33" i="1" s="1"/>
  <c r="AR10" i="1"/>
  <c r="AT10" i="1" s="1"/>
  <c r="AN10" i="1"/>
  <c r="AR167" i="1"/>
  <c r="AT167" i="1" s="1"/>
  <c r="AL72" i="1"/>
  <c r="AM72" i="1" s="1"/>
  <c r="AT74" i="1" s="1"/>
  <c r="AR71" i="1"/>
  <c r="AT71" i="1" s="1"/>
  <c r="AO99" i="1"/>
  <c r="AP99" i="1" s="1"/>
  <c r="AL99" i="1"/>
  <c r="AM99" i="1" s="1"/>
  <c r="AJ101" i="1"/>
  <c r="AK100" i="1" s="1"/>
  <c r="AL98" i="1"/>
  <c r="AO98" i="1"/>
  <c r="AP98" i="1" s="1"/>
  <c r="BN101" i="1"/>
  <c r="BP101" i="1"/>
  <c r="BS101" i="1" s="1"/>
  <c r="BV101" i="1" s="1"/>
  <c r="BV102" i="1" s="1"/>
  <c r="BQ101" i="1"/>
  <c r="BT101" i="1" s="1"/>
  <c r="BW101" i="1" s="1"/>
  <c r="BW102" i="1" s="1"/>
  <c r="BN82" i="1"/>
  <c r="AK10" i="1"/>
  <c r="AK12" i="1"/>
  <c r="AK9" i="1"/>
  <c r="AK11" i="1"/>
  <c r="AO72" i="1"/>
  <c r="AP72" i="1" s="1"/>
  <c r="AJ82" i="1"/>
  <c r="AK81" i="1" s="1"/>
  <c r="AL79" i="1"/>
  <c r="AO79" i="1"/>
  <c r="AP79" i="1" s="1"/>
  <c r="AO80" i="1"/>
  <c r="AP80" i="1" s="1"/>
  <c r="AL80" i="1"/>
  <c r="AM80" i="1" s="1"/>
  <c r="AL81" i="1"/>
  <c r="AM81" i="1" s="1"/>
  <c r="AO81" i="1"/>
  <c r="AP81" i="1" s="1"/>
  <c r="BQ72" i="1"/>
  <c r="BT72" i="1" s="1"/>
  <c r="BW72" i="1" s="1"/>
  <c r="BW73" i="1" s="1"/>
  <c r="BN24" i="1"/>
  <c r="AK70" i="1"/>
  <c r="AK72" i="1" s="1"/>
  <c r="BQ24" i="1"/>
  <c r="BT24" i="1" s="1"/>
  <c r="BW24" i="1" s="1"/>
  <c r="BW25" i="1" s="1"/>
  <c r="BP24" i="1"/>
  <c r="BS24" i="1" s="1"/>
  <c r="BV24" i="1" s="1"/>
  <c r="BV25" i="1" s="1"/>
  <c r="AL23" i="1"/>
  <c r="AM23" i="1" s="1"/>
  <c r="AO23" i="1"/>
  <c r="AP23" i="1" s="1"/>
  <c r="AO22" i="1"/>
  <c r="AP22" i="1" s="1"/>
  <c r="AL22" i="1"/>
  <c r="AM22" i="1" s="1"/>
  <c r="AO21" i="1"/>
  <c r="AP21" i="1" s="1"/>
  <c r="AL21" i="1"/>
  <c r="AM21" i="1" s="1"/>
  <c r="AL20" i="1"/>
  <c r="AJ24" i="1"/>
  <c r="AO24" i="1" s="1"/>
  <c r="AP24" i="1" s="1"/>
  <c r="AO20" i="1"/>
  <c r="AP20" i="1" s="1"/>
  <c r="AN70" i="1"/>
  <c r="AS70" i="1"/>
  <c r="AU70" i="1" s="1"/>
  <c r="AR70" i="1"/>
  <c r="AT70" i="1" s="1"/>
  <c r="AK108" i="1"/>
  <c r="BP117" i="1"/>
  <c r="BS117" i="1" s="1"/>
  <c r="BV117" i="1" s="1"/>
  <c r="BV118" i="1" s="1"/>
  <c r="AK113" i="1"/>
  <c r="AK112" i="1"/>
  <c r="AK116" i="1"/>
  <c r="AK115" i="1"/>
  <c r="AU203" i="1"/>
  <c r="AT203" i="1"/>
  <c r="AS201" i="1"/>
  <c r="AU201" i="1" s="1"/>
  <c r="AR201" i="1"/>
  <c r="AT201" i="1" s="1"/>
  <c r="AN201" i="1"/>
  <c r="AR113" i="1"/>
  <c r="AT113" i="1" s="1"/>
  <c r="AN113" i="1"/>
  <c r="AS113" i="1"/>
  <c r="AU113" i="1" s="1"/>
  <c r="AN199" i="1"/>
  <c r="AS199" i="1"/>
  <c r="AU199" i="1" s="1"/>
  <c r="AR199" i="1"/>
  <c r="AT199" i="1" s="1"/>
  <c r="AS179" i="1"/>
  <c r="AU179" i="1" s="1"/>
  <c r="AR179" i="1"/>
  <c r="AT179" i="1" s="1"/>
  <c r="AN179" i="1"/>
  <c r="AK109" i="1"/>
  <c r="AN116" i="1"/>
  <c r="AS116" i="1"/>
  <c r="AU116" i="1" s="1"/>
  <c r="AR116" i="1"/>
  <c r="AT116" i="1" s="1"/>
  <c r="AK156" i="1"/>
  <c r="AS154" i="1"/>
  <c r="AU154" i="1" s="1"/>
  <c r="AN154" i="1"/>
  <c r="AR154" i="1"/>
  <c r="AT154" i="1" s="1"/>
  <c r="AS109" i="1"/>
  <c r="AU109" i="1" s="1"/>
  <c r="AR109" i="1"/>
  <c r="AT109" i="1" s="1"/>
  <c r="AN109" i="1"/>
  <c r="AS111" i="1"/>
  <c r="AU111" i="1" s="1"/>
  <c r="AR111" i="1"/>
  <c r="AT111" i="1" s="1"/>
  <c r="AN111" i="1"/>
  <c r="AS155" i="1"/>
  <c r="AU155" i="1" s="1"/>
  <c r="AR155" i="1"/>
  <c r="AT155" i="1" s="1"/>
  <c r="AN155" i="1"/>
  <c r="AK154" i="1"/>
  <c r="AL117" i="1"/>
  <c r="AM117" i="1" s="1"/>
  <c r="AM108" i="1"/>
  <c r="AK111" i="1"/>
  <c r="AS180" i="1"/>
  <c r="AU180" i="1" s="1"/>
  <c r="AR180" i="1"/>
  <c r="AT180" i="1" s="1"/>
  <c r="AN180" i="1"/>
  <c r="AR156" i="1"/>
  <c r="AT156" i="1" s="1"/>
  <c r="AN156" i="1"/>
  <c r="AS156" i="1"/>
  <c r="AU156" i="1" s="1"/>
  <c r="AK155" i="1"/>
  <c r="AK110" i="1"/>
  <c r="AS112" i="1"/>
  <c r="AU112" i="1" s="1"/>
  <c r="AR112" i="1"/>
  <c r="AT112" i="1" s="1"/>
  <c r="AN112" i="1"/>
  <c r="AS110" i="1"/>
  <c r="AU110" i="1" s="1"/>
  <c r="AR110" i="1"/>
  <c r="AT110" i="1" s="1"/>
  <c r="AN110" i="1"/>
  <c r="AR115" i="1"/>
  <c r="AT115" i="1" s="1"/>
  <c r="AN115" i="1"/>
  <c r="AS115" i="1"/>
  <c r="AU115" i="1" s="1"/>
  <c r="AM31" i="1"/>
  <c r="AN181" i="1"/>
  <c r="AR181" i="1"/>
  <c r="AT181" i="1" s="1"/>
  <c r="AS181" i="1"/>
  <c r="AU181" i="1" s="1"/>
  <c r="AS114" i="1"/>
  <c r="AU114" i="1" s="1"/>
  <c r="AR114" i="1"/>
  <c r="AT114" i="1" s="1"/>
  <c r="AN114" i="1"/>
  <c r="AN9" i="1"/>
  <c r="AR9" i="1"/>
  <c r="AT9" i="1" s="1"/>
  <c r="AS9" i="1"/>
  <c r="AU9" i="1" s="1"/>
  <c r="AS158" i="1"/>
  <c r="AU158" i="1" s="1"/>
  <c r="AN158" i="1"/>
  <c r="AR158" i="1"/>
  <c r="AT158" i="1" s="1"/>
  <c r="AK157" i="1"/>
  <c r="AS157" i="1"/>
  <c r="AU157" i="1" s="1"/>
  <c r="AR157" i="1"/>
  <c r="AT157" i="1" s="1"/>
  <c r="AN157" i="1"/>
  <c r="AK153" i="1"/>
  <c r="AK159" i="1" s="1"/>
  <c r="AS166" i="1"/>
  <c r="AU166" i="1" s="1"/>
  <c r="AN166" i="1"/>
  <c r="AR166" i="1"/>
  <c r="AT166" i="1" s="1"/>
  <c r="AK158" i="1"/>
  <c r="AK181" i="1"/>
  <c r="AK114" i="1"/>
  <c r="AS189" i="1"/>
  <c r="AU189" i="1" s="1"/>
  <c r="AN189" i="1"/>
  <c r="AR189" i="1"/>
  <c r="AT189" i="1" s="1"/>
  <c r="AM178" i="1"/>
  <c r="AL182" i="1"/>
  <c r="AM182" i="1" s="1"/>
  <c r="AM153" i="1"/>
  <c r="AL159" i="1"/>
  <c r="AM159" i="1" s="1"/>
  <c r="AN171" i="1"/>
  <c r="AU173" i="1"/>
  <c r="AT173" i="1"/>
  <c r="AS171" i="1"/>
  <c r="AU171" i="1" s="1"/>
  <c r="AR171" i="1"/>
  <c r="AT171" i="1" s="1"/>
  <c r="AK179" i="1"/>
  <c r="AK178" i="1"/>
  <c r="AK182" i="1" s="1"/>
  <c r="AK180" i="1"/>
  <c r="AS192" i="1"/>
  <c r="AU192" i="1" s="1"/>
  <c r="AR192" i="1"/>
  <c r="AT192" i="1" s="1"/>
  <c r="AN192" i="1"/>
  <c r="AU194" i="1"/>
  <c r="AT194" i="1"/>
  <c r="AK31" i="1" l="1"/>
  <c r="AL34" i="1"/>
  <c r="AM34" i="1" s="1"/>
  <c r="AT36" i="1" s="1"/>
  <c r="AK32" i="1"/>
  <c r="AT15" i="1"/>
  <c r="AN33" i="1"/>
  <c r="AR32" i="1"/>
  <c r="AT32" i="1" s="1"/>
  <c r="AK33" i="1"/>
  <c r="AK34" i="1" s="1"/>
  <c r="AS33" i="1"/>
  <c r="AU33" i="1" s="1"/>
  <c r="AN32" i="1"/>
  <c r="AR13" i="1"/>
  <c r="AT13" i="1" s="1"/>
  <c r="AS13" i="1"/>
  <c r="AU13" i="1" s="1"/>
  <c r="AU15" i="1"/>
  <c r="AL101" i="1"/>
  <c r="AM101" i="1" s="1"/>
  <c r="AM98" i="1"/>
  <c r="AO101" i="1"/>
  <c r="AP101" i="1" s="1"/>
  <c r="AK99" i="1"/>
  <c r="AK98" i="1"/>
  <c r="AS99" i="1"/>
  <c r="AU99" i="1" s="1"/>
  <c r="AR99" i="1"/>
  <c r="AT99" i="1" s="1"/>
  <c r="AN99" i="1"/>
  <c r="AK13" i="1"/>
  <c r="AR72" i="1"/>
  <c r="AT72" i="1" s="1"/>
  <c r="AS72" i="1"/>
  <c r="AU72" i="1" s="1"/>
  <c r="AS81" i="1"/>
  <c r="AU81" i="1" s="1"/>
  <c r="AN81" i="1"/>
  <c r="AR81" i="1"/>
  <c r="AT81" i="1" s="1"/>
  <c r="AR80" i="1"/>
  <c r="AT80" i="1" s="1"/>
  <c r="AN80" i="1"/>
  <c r="AS80" i="1"/>
  <c r="AU80" i="1" s="1"/>
  <c r="AM79" i="1"/>
  <c r="AL82" i="1"/>
  <c r="AM82" i="1" s="1"/>
  <c r="AO82" i="1"/>
  <c r="AP82" i="1" s="1"/>
  <c r="AK79" i="1"/>
  <c r="AK80" i="1"/>
  <c r="AU74" i="1"/>
  <c r="AN72" i="1"/>
  <c r="AK20" i="1"/>
  <c r="AM20" i="1"/>
  <c r="AL24" i="1"/>
  <c r="AM24" i="1" s="1"/>
  <c r="AK21" i="1"/>
  <c r="AN21" i="1"/>
  <c r="AS21" i="1"/>
  <c r="AU21" i="1" s="1"/>
  <c r="AR21" i="1"/>
  <c r="AT21" i="1" s="1"/>
  <c r="AK22" i="1"/>
  <c r="AS22" i="1"/>
  <c r="AU22" i="1" s="1"/>
  <c r="AR22" i="1"/>
  <c r="AT22" i="1" s="1"/>
  <c r="AN22" i="1"/>
  <c r="AK23" i="1"/>
  <c r="AR23" i="1"/>
  <c r="AT23" i="1" s="1"/>
  <c r="AS23" i="1"/>
  <c r="AU23" i="1" s="1"/>
  <c r="AN23" i="1"/>
  <c r="AK117" i="1"/>
  <c r="AS153" i="1"/>
  <c r="AU153" i="1" s="1"/>
  <c r="AR153" i="1"/>
  <c r="AT153" i="1" s="1"/>
  <c r="AN153" i="1"/>
  <c r="AS108" i="1"/>
  <c r="AU108" i="1" s="1"/>
  <c r="AR108" i="1"/>
  <c r="AT108" i="1" s="1"/>
  <c r="AN108" i="1"/>
  <c r="AR159" i="1"/>
  <c r="AT159" i="1" s="1"/>
  <c r="AU161" i="1"/>
  <c r="AT161" i="1"/>
  <c r="AS159" i="1"/>
  <c r="AU159" i="1" s="1"/>
  <c r="AN159" i="1"/>
  <c r="AU36" i="1"/>
  <c r="AN34" i="1"/>
  <c r="AU119" i="1"/>
  <c r="AT119" i="1"/>
  <c r="AS117" i="1"/>
  <c r="AU117" i="1" s="1"/>
  <c r="AN117" i="1"/>
  <c r="AR117" i="1"/>
  <c r="AT117" i="1" s="1"/>
  <c r="AN178" i="1"/>
  <c r="AR178" i="1"/>
  <c r="AT178" i="1" s="1"/>
  <c r="AS178" i="1"/>
  <c r="AU178" i="1" s="1"/>
  <c r="AS182" i="1"/>
  <c r="AU182" i="1" s="1"/>
  <c r="AR182" i="1"/>
  <c r="AT182" i="1" s="1"/>
  <c r="AN182" i="1"/>
  <c r="AU184" i="1"/>
  <c r="AT184" i="1"/>
  <c r="AR31" i="1"/>
  <c r="AT31" i="1" s="1"/>
  <c r="AS31" i="1"/>
  <c r="AU31" i="1" s="1"/>
  <c r="AN31" i="1"/>
  <c r="AR34" i="1" l="1"/>
  <c r="AT34" i="1" s="1"/>
  <c r="AS34" i="1"/>
  <c r="AU34" i="1" s="1"/>
  <c r="AK101" i="1"/>
  <c r="AR98" i="1"/>
  <c r="AT98" i="1" s="1"/>
  <c r="AN98" i="1"/>
  <c r="AS98" i="1"/>
  <c r="AU98" i="1" s="1"/>
  <c r="AU103" i="1"/>
  <c r="AT103" i="1"/>
  <c r="AS101" i="1"/>
  <c r="AU101" i="1" s="1"/>
  <c r="AR101" i="1"/>
  <c r="AT101" i="1" s="1"/>
  <c r="AN101" i="1"/>
  <c r="AK82" i="1"/>
  <c r="AS82" i="1"/>
  <c r="AU82" i="1" s="1"/>
  <c r="AN82" i="1"/>
  <c r="AR82" i="1"/>
  <c r="AT82" i="1" s="1"/>
  <c r="AU84" i="1"/>
  <c r="AT84" i="1"/>
  <c r="AS79" i="1"/>
  <c r="AU79" i="1" s="1"/>
  <c r="AN79" i="1"/>
  <c r="AR79" i="1"/>
  <c r="AT79" i="1" s="1"/>
  <c r="AR24" i="1"/>
  <c r="AT24" i="1" s="1"/>
  <c r="AS24" i="1"/>
  <c r="AU24" i="1" s="1"/>
  <c r="AU26" i="1"/>
  <c r="AN24" i="1"/>
  <c r="AT26" i="1"/>
  <c r="AS20" i="1"/>
  <c r="AU20" i="1" s="1"/>
  <c r="AR20" i="1"/>
  <c r="AT20" i="1" s="1"/>
  <c r="AN20" i="1"/>
  <c r="AK24" i="1"/>
</calcChain>
</file>

<file path=xl/sharedStrings.xml><?xml version="1.0" encoding="utf-8"?>
<sst xmlns="http://schemas.openxmlformats.org/spreadsheetml/2006/main" count="2491" uniqueCount="449">
  <si>
    <t xml:space="preserve">Si nº eventos = </t>
  </si>
  <si>
    <t>sustituir por</t>
  </si>
  <si>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</si>
  <si>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</si>
  <si>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>MODELO DE EFECTOS FIJOS, CON CADA PESO SEGÚN SU RESPECTIVO INVERSO DE LA VARIANZA</t>
  </si>
  <si>
    <t>MODELO DE EFECTOS ALEATORIOS, CON LOS PESOS SEGÚN DerSimonian-Laird</t>
  </si>
  <si>
    <t>Variable buscada</t>
  </si>
  <si>
    <t>Nº pacientes grupo intervención</t>
  </si>
  <si>
    <t>Nº pacientes grupo control</t>
  </si>
  <si>
    <t>Si evento</t>
  </si>
  <si>
    <t>No evento</t>
  </si>
  <si>
    <t>Total</t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</si>
  <si>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</si>
  <si>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</si>
  <si>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</si>
  <si>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</si>
  <si>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</si>
  <si>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</si>
  <si>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</si>
  <si>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</si>
  <si>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</si>
  <si>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</si>
  <si>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límite inferior IC elegido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</si>
  <si>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</si>
  <si>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</si>
  <si>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</si>
  <si>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</si>
  <si>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</si>
  <si>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</si>
  <si>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</si>
  <si>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</si>
  <si>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</si>
  <si>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</si>
  <si>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</si>
  <si>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</si>
  <si>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</si>
  <si>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</si>
  <si>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</si>
  <si>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</si>
  <si>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</si>
  <si>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</si>
  <si>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</si>
  <si>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</si>
  <si>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t>ln Q</t>
  </si>
  <si>
    <t>ln k-1</t>
  </si>
  <si>
    <t>Raíz 2Q</t>
  </si>
  <si>
    <t>Raíz(2k-3)</t>
  </si>
  <si>
    <t>2(k-2)</t>
  </si>
  <si>
    <t>A</t>
  </si>
  <si>
    <t>B</t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</si>
  <si>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</si>
  <si>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</si>
  <si>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</si>
  <si>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</si>
  <si>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</si>
  <si>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</si>
  <si>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</si>
  <si>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</si>
  <si>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</si>
  <si>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p =</t>
  </si>
  <si>
    <t xml:space="preserve">Como Q =&lt; k, Utilizar 1ª EE </t>
  </si>
  <si>
    <t xml:space="preserve">Interpretación 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</si>
  <si>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</si>
  <si>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 xml:space="preserve">Intervalo de predicción al </t>
  </si>
  <si>
    <t>I2 teórica</t>
  </si>
  <si>
    <t xml:space="preserve">I2 a utilizar: 1) si Q &lt; k-1 =  0; 2) si no, =&gt; I2 teórica </t>
  </si>
  <si>
    <t>H2</t>
  </si>
  <si>
    <t>ln H2</t>
  </si>
  <si>
    <t>3(k-2)2</t>
  </si>
  <si>
    <t>1º EE[ln(H2)] si Q =&lt; K</t>
  </si>
  <si>
    <t>2º EE[ln(H2)]  sí Q  &gt; K</t>
  </si>
  <si>
    <t>EE[ln(H2)] que utilizo</t>
  </si>
  <si>
    <t>ln(H2) - 1,96 * EE[ln(H2)]</t>
  </si>
  <si>
    <t>ln(H2) + 1,96 * EE[ln(H2)]</t>
  </si>
  <si>
    <t>lím inferior IC de H2</t>
  </si>
  <si>
    <t>lím superior IC de H2</t>
  </si>
  <si>
    <t xml:space="preserve">ECAs que informan de: </t>
  </si>
  <si>
    <t>Grupo de Intervención</t>
  </si>
  <si>
    <t>Grupo de Control</t>
  </si>
  <si>
    <t>Años de seguimiento</t>
  </si>
  <si>
    <t>Nº personas-año</t>
  </si>
  <si>
    <t>Eventos / 100 personas-año</t>
  </si>
  <si>
    <t>Media de edad (años)</t>
  </si>
  <si>
    <t>Ambos grupos combinados</t>
  </si>
  <si>
    <t>Intervención</t>
  </si>
  <si>
    <t>Control</t>
  </si>
  <si>
    <t>control</t>
  </si>
  <si>
    <t>/</t>
  </si>
  <si>
    <t xml:space="preserve">% RA control = </t>
  </si>
  <si>
    <t>RR (IC 95%) obtenido en el metaanálisis</t>
  </si>
  <si>
    <t>Riesgo basal control en 1 año</t>
  </si>
  <si>
    <t>Estimación puntual</t>
  </si>
  <si>
    <t>LI IC 95%</t>
  </si>
  <si>
    <t>LS IC 95%</t>
  </si>
  <si>
    <t>nº de años</t>
  </si>
  <si>
    <t>RAR (IC 95%)</t>
  </si>
  <si>
    <t>NNT (IC 95%)</t>
  </si>
  <si>
    <t>(</t>
  </si>
  <si>
    <t>-</t>
  </si>
  <si>
    <t>)</t>
  </si>
  <si>
    <t>%</t>
  </si>
  <si>
    <t>% RA Vit D + Caerv</t>
  </si>
  <si>
    <t>% RA control</t>
  </si>
  <si>
    <t>RR (IC 95%)</t>
  </si>
  <si>
    <t>RAR (IC95%)</t>
  </si>
  <si>
    <t>a</t>
  </si>
  <si>
    <t>%Ev en nº de años</t>
  </si>
  <si>
    <t>% RA Interv</t>
  </si>
  <si>
    <t>Puntuación ordinal de importancia o aversión al riesgo</t>
  </si>
  <si>
    <t>Estudios individuales</t>
  </si>
  <si>
    <t>Diseño</t>
  </si>
  <si>
    <t xml:space="preserve">Años de seguimiento (media o mediana) </t>
  </si>
  <si>
    <t>Nº Eventos / total pacientes; Grupo Intervención</t>
  </si>
  <si>
    <t xml:space="preserve"> % Eventos/ año, Grupo Intervención</t>
  </si>
  <si>
    <t>Nº Eventos / total pacientes; Grupo control</t>
  </si>
  <si>
    <t xml:space="preserve"> % Eventos/ año, Grupo control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</si>
  <si>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</si>
  <si>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</si>
  <si>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</si>
  <si>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</si>
  <si>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</si>
  <si>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</si>
  <si>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</si>
  <si>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t>Si aplicamos el Modelo de efectos aleatorios</t>
  </si>
  <si>
    <t xml:space="preserve"> % Eventos, Grupo Intervención</t>
  </si>
  <si>
    <t xml:space="preserve"> % Eventos, Grupo control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</si>
  <si>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</si>
  <si>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</si>
  <si>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</si>
  <si>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</si>
  <si>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</si>
  <si>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</si>
  <si>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</si>
  <si>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 xml:space="preserve">Intervalo de predicción al 95%: </t>
  </si>
  <si>
    <t>En años</t>
  </si>
  <si>
    <t>Ambos</t>
  </si>
  <si>
    <r>
      <t xml:space="preserve">Cálculo por incidencias acumuladas de RR, RAR, NNT con sus IC 95%, potencia estadística y valor de </t>
    </r>
    <r>
      <rPr>
        <b/>
        <i/>
        <sz val="14"/>
        <rFont val="Calibri"/>
        <family val="2"/>
      </rPr>
      <t>p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</si>
  <si>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NND:</t>
    </r>
    <r>
      <rPr>
        <sz val="10"/>
        <rFont val="Calibri"/>
        <family val="2"/>
      </rPr>
      <t xml:space="preserve">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95%.</t>
    </r>
  </si>
  <si>
    <t>Nº de personas con evento</t>
  </si>
  <si>
    <t>Nº personas sin evento</t>
  </si>
  <si>
    <t>Los límites del intervalos de confianza son los exponentes neperianos o antilogaritmos de la ecuación [ ln RR +- Z α/2 x EE (ln RR) ]</t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</si>
  <si>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</si>
  <si>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</si>
  <si>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</si>
  <si>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t>Z α/2 (0,05)</t>
  </si>
  <si>
    <t>ln del LI IC</t>
  </si>
  <si>
    <t>ln del LS IC</t>
  </si>
  <si>
    <t>RR</t>
  </si>
  <si>
    <t>Límite inferior del IC</t>
  </si>
  <si>
    <t>Límite superior del IC</t>
  </si>
  <si>
    <t>RRR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</si>
  <si>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</si>
  <si>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</si>
  <si>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</si>
  <si>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</si>
  <si>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</si>
  <si>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</si>
  <si>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</si>
  <si>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</si>
  <si>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</si>
  <si>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</si>
  <si>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</si>
  <si>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</si>
  <si>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</si>
  <si>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Estimación puntual de la proporción</t>
  </si>
  <si>
    <t>Mét.Wilson</t>
  </si>
  <si>
    <r>
      <t>Cálculo de la potencia estadística</t>
    </r>
    <r>
      <rPr>
        <sz val="10"/>
        <rFont val="Calibri"/>
        <family val="2"/>
      </rPr>
      <t>: Zβ = [Raíz (nd^2 /2pm*qm)] - Z α/2 (0,05)</t>
    </r>
  </si>
  <si>
    <r>
      <t xml:space="preserve">Cálculo de la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Z α/2 = Dif Proporc / EE (Difer Proporc)</t>
    </r>
  </si>
  <si>
    <t>Operar</t>
  </si>
  <si>
    <t>n = nº de los que hay en cada grupo (ojo, no de la suma de ambos)</t>
  </si>
  <si>
    <t>Dif Proporc de ambos grupos =  RAR</t>
  </si>
  <si>
    <t>d = diferencia de proporciones de ambos grupos o RAR</t>
  </si>
  <si>
    <t xml:space="preserve">EE (Dif Proporc) = Raíz[ pm(1-pm)/n1] + [ pm(1-pm)/n2] = </t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</si>
  <si>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</si>
  <si>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</si>
  <si>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</si>
  <si>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</si>
  <si>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t>α = probab de que la diferencia detectada entre ambos sea debida al azar, en caso de que no exista (error alfa)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</si>
  <si>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</si>
  <si>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</si>
  <si>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probabilidad dar por buena una diferencia que no existe.</t>
  </si>
  <si>
    <t>Cálculo del IC del RAR y del NNT</t>
  </si>
  <si>
    <t>---------------------------------------------&gt;</t>
  </si>
  <si>
    <t>RAR =</t>
  </si>
  <si>
    <t>probabliidad o riesgo de cometer un error β =&gt; probabilidad de no detectar una diferencia que sí exista.</t>
  </si>
  <si>
    <t>NNT =</t>
  </si>
  <si>
    <t>APLICAR SÓLO SI EL NNT Y SUS IC SON POSITIVOS</t>
  </si>
  <si>
    <t>====&gt;  NNT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</si>
  <si>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</si>
  <si>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</si>
  <si>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</si>
  <si>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</si>
  <si>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====&gt;  NND</t>
  </si>
  <si>
    <t>Enfermarán por tomar el Mto de Intervención</t>
  </si>
  <si>
    <t>Chi cuadrado de Pearson (un ejemplo de variable cualitativa)</t>
  </si>
  <si>
    <t>Enfermarán incluso sin tomar el Mto de Intervención</t>
  </si>
  <si>
    <t>Enferman</t>
  </si>
  <si>
    <t>No enferman</t>
  </si>
  <si>
    <t>Esperadas</t>
  </si>
  <si>
    <t>Con eventos</t>
  </si>
  <si>
    <t>Sin eventos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</si>
  <si>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</si>
  <si>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</si>
  <si>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</si>
  <si>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</si>
  <si>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</si>
  <si>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</si>
  <si>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</si>
  <si>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</si>
  <si>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</si>
  <si>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cal= Sumat (observado i - esperado i)^2 / esperado i)</t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</si>
  <si>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</si>
  <si>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</si>
  <si>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</si>
  <si>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</si>
  <si>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</si>
  <si>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</si>
  <si>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 xml:space="preserve">CÁLCULOS POR INCIDENCIAS ACUMULADAS EN </t>
  </si>
  <si>
    <t>AÑOS</t>
  </si>
  <si>
    <t>Nº event Interv (%)</t>
  </si>
  <si>
    <t>Nº event Control (%)</t>
  </si>
  <si>
    <t>RAR</t>
  </si>
  <si>
    <t>NNT</t>
  </si>
  <si>
    <t>potencia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</si>
  <si>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</si>
  <si>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</si>
  <si>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BASTIDOR</t>
  </si>
  <si>
    <r>
      <rPr>
        <i/>
        <sz val="10"/>
        <rFont val="Calibri"/>
        <family val="2"/>
      </rPr>
      <t>I</t>
    </r>
    <r>
      <rPr>
        <i/>
        <vertAlign val="superscript"/>
        <sz val="10"/>
        <rFont val="Calibri"/>
        <family val="2"/>
      </rPr>
      <t>2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de </t>
    </r>
    <r>
      <rPr>
        <sz val="10"/>
        <color rgb="FF99CC00"/>
        <rFont val="Calibri"/>
        <family val="2"/>
      </rPr>
      <t>0%-25%: heterogeneidad baja</t>
    </r>
    <r>
      <rPr>
        <sz val="10"/>
        <color rgb="FF000000"/>
        <rFont val="Calibri"/>
        <family val="2"/>
      </rPr>
      <t xml:space="preserve">; </t>
    </r>
    <r>
      <rPr>
        <sz val="10"/>
        <color rgb="FFFF9900"/>
        <rFont val="Calibri"/>
        <family val="2"/>
      </rPr>
      <t>25%-50%: moderada</t>
    </r>
    <r>
      <rPr>
        <sz val="10"/>
        <color rgb="FF000000"/>
        <rFont val="Calibri"/>
        <family val="2"/>
      </rPr>
      <t xml:space="preserve">, </t>
    </r>
    <r>
      <rPr>
        <sz val="10"/>
        <color rgb="FFFF00FF"/>
        <rFont val="Calibri"/>
        <family val="2"/>
      </rPr>
      <t>50%-75%: alta</t>
    </r>
    <r>
      <rPr>
        <sz val="10"/>
        <color rgb="FF000000"/>
        <rFont val="Calibri"/>
        <family val="2"/>
      </rPr>
      <t xml:space="preserve">; y </t>
    </r>
    <r>
      <rPr>
        <sz val="10"/>
        <color rgb="FFFF0000"/>
        <rFont val="Calibri"/>
        <family val="2"/>
      </rPr>
      <t>75%-100%: muy alta</t>
    </r>
    <r>
      <rPr>
        <sz val="10"/>
        <color rgb="FF000000"/>
        <rFont val="Calibri"/>
        <family val="2"/>
      </rPr>
      <t xml:space="preserve"> </t>
    </r>
  </si>
  <si>
    <t>Rebaja por su intervalo de predicción:</t>
  </si>
  <si>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</si>
  <si>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 xml:space="preserve">límite inferior IC de </t>
    </r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</si>
  <si>
    <r>
      <t xml:space="preserve">límite superior IC de </t>
    </r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</si>
  <si>
    <r>
      <t xml:space="preserve">ÍNDICE DE HETEROGENEIDAD: </t>
    </r>
    <r>
      <rPr>
        <b/>
        <i/>
        <sz val="10"/>
        <rFont val="Calibri"/>
        <family val="2"/>
        <scheme val="minor"/>
      </rPr>
      <t>I</t>
    </r>
    <r>
      <rPr>
        <b/>
        <i/>
        <vertAlign val="superscript"/>
        <sz val="10"/>
        <rFont val="Calibri"/>
        <family val="2"/>
        <scheme val="minor"/>
      </rPr>
      <t>2</t>
    </r>
  </si>
  <si>
    <t>Mortalidad por todas las causas</t>
  </si>
  <si>
    <t>Mortalidad por causa RENAL</t>
  </si>
  <si>
    <t>Hospitalización por Insuficiencia cardíaca</t>
  </si>
  <si>
    <r>
      <t>[Mort CV, IAM ó Ictus] =</t>
    </r>
    <r>
      <rPr>
        <sz val="10"/>
        <color indexed="49"/>
        <rFont val="Calibri"/>
        <family val="2"/>
      </rPr>
      <t xml:space="preserve"> MortCviamíctus</t>
    </r>
  </si>
  <si>
    <t>0,83 (0,69-1,02)</t>
  </si>
  <si>
    <t>1,51% (-0,13% a 3,15%)</t>
  </si>
  <si>
    <t>66 (32 a -749)</t>
  </si>
  <si>
    <t>0,69 (0,54-0,89)</t>
  </si>
  <si>
    <t>2,09% (0,69% a 3,48%)</t>
  </si>
  <si>
    <t>48 (29 a 145)</t>
  </si>
  <si>
    <t>0% (-0,8% a 0,8%)</t>
  </si>
  <si>
    <t>---------</t>
  </si>
  <si>
    <t>0,57% (-0,46% a 1,6%)</t>
  </si>
  <si>
    <t>174 (62 a -217)</t>
  </si>
  <si>
    <r>
      <t>I</t>
    </r>
    <r>
      <rPr>
        <b/>
        <i/>
        <vertAlign val="superscript"/>
        <sz val="14"/>
        <rFont val="Calibri"/>
        <family val="2"/>
      </rPr>
      <t xml:space="preserve">2 </t>
    </r>
    <r>
      <rPr>
        <b/>
        <sz val="14"/>
        <rFont val="Calibri"/>
        <family val="2"/>
      </rPr>
      <t xml:space="preserve">= </t>
    </r>
    <r>
      <rPr>
        <b/>
        <sz val="14"/>
        <color rgb="FFFFC000"/>
        <rFont val="Calibri"/>
        <family val="2"/>
      </rPr>
      <t>50</t>
    </r>
    <r>
      <rPr>
        <b/>
        <sz val="14"/>
        <color rgb="FFFF3399"/>
        <rFont val="Calibri"/>
        <family val="2"/>
      </rPr>
      <t>%</t>
    </r>
  </si>
  <si>
    <t>0,86 (0,74-0,99)</t>
  </si>
  <si>
    <t>2,78%</t>
  </si>
  <si>
    <t>3,24%</t>
  </si>
  <si>
    <t>0,46% (0,02% a 0,83%)</t>
  </si>
  <si>
    <t>219 (120 a 4919)</t>
  </si>
  <si>
    <t>5,04%</t>
  </si>
  <si>
    <t>5,87%</t>
  </si>
  <si>
    <t>0,83% (0,04% a 1,51%)</t>
  </si>
  <si>
    <t>121 (66 a 2714)</t>
  </si>
  <si>
    <t>0,86 (0,52-1,42)</t>
  </si>
  <si>
    <t>Pob MA /100</t>
  </si>
  <si>
    <t>0,78 (0,62-1)</t>
  </si>
  <si>
    <t>1,37% (-0,01% a 2,74%)</t>
  </si>
  <si>
    <t>73 (36 a -12149)</t>
  </si>
  <si>
    <t>0,78 (0,56-1,07)</t>
  </si>
  <si>
    <t>0,84% (-0,25% a 1,91%)</t>
  </si>
  <si>
    <t>120 (52 a -402)</t>
  </si>
  <si>
    <t>0,91 (0,74-1,13)</t>
  </si>
  <si>
    <t>0,28% (-0,38% a 0,94%)</t>
  </si>
  <si>
    <t>353 (106 a -264)</t>
  </si>
  <si>
    <t>0,86 (0,61-1,21)</t>
  </si>
  <si>
    <t>0,3% (-0,37% a 0,97%)</t>
  </si>
  <si>
    <t>331 (103 a -267)</t>
  </si>
  <si>
    <r>
      <rPr>
        <b/>
        <i/>
        <sz val="14"/>
        <color theme="1"/>
        <rFont val="Calibri"/>
        <family val="2"/>
        <scheme val="minor"/>
      </rPr>
      <t>I</t>
    </r>
    <r>
      <rPr>
        <b/>
        <i/>
        <vertAlign val="superscript"/>
        <sz val="14"/>
        <color theme="1"/>
        <rFont val="Calibri"/>
        <family val="2"/>
      </rPr>
      <t xml:space="preserve">2 </t>
    </r>
    <r>
      <rPr>
        <b/>
        <sz val="14"/>
        <color theme="1"/>
        <rFont val="Calibri"/>
        <family val="2"/>
      </rPr>
      <t>=</t>
    </r>
    <r>
      <rPr>
        <b/>
        <sz val="14"/>
        <color rgb="FF99CC00"/>
        <rFont val="Calibri"/>
        <family val="2"/>
      </rPr>
      <t xml:space="preserve"> 0%</t>
    </r>
  </si>
  <si>
    <t>0,84 (0,74-0,96)</t>
  </si>
  <si>
    <t>1,64%</t>
  </si>
  <si>
    <t>1,96%</t>
  </si>
  <si>
    <t>0,31% (0,08% a 0,52%)</t>
  </si>
  <si>
    <t>320 (193 a 1272)</t>
  </si>
  <si>
    <t>2,98%</t>
  </si>
  <si>
    <t>3,55%</t>
  </si>
  <si>
    <t>0,57% (0,14% a 0,94%)</t>
  </si>
  <si>
    <t>177 (107 a 702)</t>
  </si>
  <si>
    <t>0,84 (0,63-1,13)</t>
  </si>
  <si>
    <r>
      <rPr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EMP-KN, FGe &lt; 10%</t>
    </r>
  </si>
  <si>
    <t>Heterogneidad</t>
  </si>
  <si>
    <t>0,76 (0,57-1,02)</t>
  </si>
  <si>
    <t>1,1% (-0,08% a 2,26%)</t>
  </si>
  <si>
    <t>91 (44 a -1291)</t>
  </si>
  <si>
    <t>0,58 (0,43-0,77)</t>
  </si>
  <si>
    <t>2,37% (1,13% a 3,59%)</t>
  </si>
  <si>
    <t>42 (28 a 89)</t>
  </si>
  <si>
    <t>0,68 (0,54-0,87)</t>
  </si>
  <si>
    <t>1,51% (0,55% a 2,46%)</t>
  </si>
  <si>
    <t>66 (41 a 181)</t>
  </si>
  <si>
    <t>2,3%</t>
  </si>
  <si>
    <t>4,94%</t>
  </si>
  <si>
    <t>0,86 (0,24-1,88)</t>
  </si>
  <si>
    <t>en 2,14 años</t>
  </si>
  <si>
    <t>en 1,81 años</t>
  </si>
  <si>
    <t>1,69%</t>
  </si>
  <si>
    <t>2,51%</t>
  </si>
  <si>
    <t>0,67 (0,51-0,89)</t>
  </si>
  <si>
    <t>5,38%</t>
  </si>
  <si>
    <t>0,62 (0,47-0,82)</t>
  </si>
  <si>
    <t>2,14% (0,89% a 3,38%)</t>
  </si>
  <si>
    <t>47 (30 a 113)</t>
  </si>
  <si>
    <t>0,7 (0,53-0,92)</t>
  </si>
  <si>
    <t>1,67% (0,39% a 2,94%)</t>
  </si>
  <si>
    <t>60 (34 a 258)</t>
  </si>
  <si>
    <t>0,69 (0,55-0,88)</t>
  </si>
  <si>
    <t>1,54% (0,56% a 2,52%)</t>
  </si>
  <si>
    <t>65 (40 a 180)</t>
  </si>
  <si>
    <t>1,54%</t>
  </si>
  <si>
    <t>0,67 (0,57-0,79)</t>
  </si>
  <si>
    <t>0,76% (0,49% a 0,99%)</t>
  </si>
  <si>
    <t>132 (101 a 203)</t>
  </si>
  <si>
    <t>3,31%</t>
  </si>
  <si>
    <t>1,63% (1,06% a 2,12%)</t>
  </si>
  <si>
    <t>61 (47 a 94)</t>
  </si>
  <si>
    <t>8 - 9</t>
  </si>
  <si>
    <t>Alta-Moderada</t>
  </si>
  <si>
    <t>Moderada</t>
  </si>
  <si>
    <t>Moderada-Baja</t>
  </si>
  <si>
    <r>
      <rPr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DAPA-CKD, Declinac FGe </t>
    </r>
    <r>
      <rPr>
        <sz val="10"/>
        <rFont val="Calibri"/>
        <family val="2"/>
      </rPr>
      <t>≥</t>
    </r>
    <r>
      <rPr>
        <sz val="7"/>
        <rFont val="Calibri"/>
        <family val="2"/>
      </rPr>
      <t xml:space="preserve"> 50</t>
    </r>
    <r>
      <rPr>
        <sz val="10"/>
        <rFont val="Calibri"/>
        <family val="2"/>
        <scheme val="minor"/>
      </rPr>
      <t>%</t>
    </r>
  </si>
  <si>
    <r>
      <rPr>
        <sz val="10"/>
        <color rgb="FF0000FF"/>
        <rFont val="Calibri"/>
        <family val="2"/>
        <scheme val="minor"/>
      </rPr>
      <t>(**)</t>
    </r>
    <r>
      <rPr>
        <sz val="10"/>
        <rFont val="Calibri"/>
        <family val="2"/>
        <scheme val="minor"/>
      </rPr>
      <t xml:space="preserve"> EMP-KN, Declinac FGe </t>
    </r>
    <r>
      <rPr>
        <sz val="10"/>
        <rFont val="Calibri"/>
        <family val="2"/>
      </rPr>
      <t>≥</t>
    </r>
    <r>
      <rPr>
        <sz val="7"/>
        <rFont val="Calibri"/>
        <family val="2"/>
      </rPr>
      <t xml:space="preserve"> 40</t>
    </r>
    <r>
      <rPr>
        <sz val="10"/>
        <rFont val="Calibri"/>
        <family val="2"/>
        <scheme val="minor"/>
      </rPr>
      <t>%</t>
    </r>
  </si>
  <si>
    <r>
      <t xml:space="preserve">Declinacion de FGe </t>
    </r>
    <r>
      <rPr>
        <sz val="10"/>
        <rFont val="Calibri"/>
        <family val="2"/>
      </rPr>
      <t>≥ 40% o ≥ 50% desde el inicio</t>
    </r>
  </si>
  <si>
    <r>
      <rPr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EMP-KN, FGe &lt;10%</t>
    </r>
  </si>
  <si>
    <t>9</t>
  </si>
  <si>
    <t>0,09%</t>
  </si>
  <si>
    <t>0,2%</t>
  </si>
  <si>
    <t>no aplicable</t>
  </si>
  <si>
    <t>12,37%</t>
  </si>
  <si>
    <t>0,14% (-0,17% a 0,41%)</t>
  </si>
  <si>
    <t>732 (244 a -574)</t>
  </si>
  <si>
    <t>0,33 (0,07-1,65)</t>
  </si>
  <si>
    <t>0,19% (-0,15% a 0,47%)</t>
  </si>
  <si>
    <t>538 (211 a -670)</t>
  </si>
  <si>
    <t>0% (-0,2% a 0,2%)</t>
  </si>
  <si>
    <t>-2729930 (491 a -491)</t>
  </si>
  <si>
    <t>1,00 (0,25-4,00)</t>
  </si>
  <si>
    <t>0,40 (0,08-2,06)</t>
  </si>
  <si>
    <t>0,56 (0,45-0,7)</t>
  </si>
  <si>
    <t>4,14% (2,57% a 5,68%)</t>
  </si>
  <si>
    <t>24 (18 a 39)</t>
  </si>
  <si>
    <t>0,76 (0,67-0,86)</t>
  </si>
  <si>
    <t>3,48% (1,88% a 5,08%)</t>
  </si>
  <si>
    <t>29 (20 a 53)</t>
  </si>
  <si>
    <r>
      <rPr>
        <b/>
        <i/>
        <sz val="14"/>
        <color theme="1"/>
        <rFont val="Calibri"/>
        <family val="2"/>
        <scheme val="minor"/>
      </rPr>
      <t>I</t>
    </r>
    <r>
      <rPr>
        <b/>
        <i/>
        <vertAlign val="superscript"/>
        <sz val="14"/>
        <color theme="1"/>
        <rFont val="Calibri"/>
        <family val="2"/>
      </rPr>
      <t xml:space="preserve">2 </t>
    </r>
    <r>
      <rPr>
        <b/>
        <sz val="14"/>
        <color theme="1"/>
        <rFont val="Calibri"/>
        <family val="2"/>
      </rPr>
      <t>=</t>
    </r>
    <r>
      <rPr>
        <b/>
        <sz val="14"/>
        <color rgb="FF99CC00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80%</t>
    </r>
  </si>
  <si>
    <r>
      <rPr>
        <b/>
        <i/>
        <sz val="14"/>
        <color theme="1"/>
        <rFont val="Calibri"/>
        <family val="2"/>
        <scheme val="minor"/>
      </rPr>
      <t>I</t>
    </r>
    <r>
      <rPr>
        <b/>
        <i/>
        <vertAlign val="superscript"/>
        <sz val="14"/>
        <color theme="1"/>
        <rFont val="Calibri"/>
        <family val="2"/>
      </rPr>
      <t xml:space="preserve">2 </t>
    </r>
    <r>
      <rPr>
        <b/>
        <sz val="14"/>
        <color theme="1"/>
        <rFont val="Calibri"/>
        <family val="2"/>
      </rPr>
      <t>=</t>
    </r>
    <r>
      <rPr>
        <b/>
        <sz val="14"/>
        <color rgb="FF99CC00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92%</t>
    </r>
  </si>
  <si>
    <t>3,99%</t>
  </si>
  <si>
    <t>6,69%</t>
  </si>
  <si>
    <t>en 1,68 años</t>
  </si>
  <si>
    <t>0,63 (0,49-0,82)</t>
  </si>
  <si>
    <t>2,37% (1,04% a 3,68%)</t>
  </si>
  <si>
    <t>42 (27 a 96)</t>
  </si>
  <si>
    <t>0,68 (0,58-0,8)</t>
  </si>
  <si>
    <t>2,17% (1,28% a 3,06%)</t>
  </si>
  <si>
    <t>46 (33 a 78)</t>
  </si>
  <si>
    <t>2,62%</t>
  </si>
  <si>
    <t>0,66 (0,39-1,12)</t>
  </si>
  <si>
    <t>1,37% (-0,46% a 2,45%)</t>
  </si>
  <si>
    <t>73 (41 a -217)</t>
  </si>
  <si>
    <t>4,39%</t>
  </si>
  <si>
    <t>2,3% (-0,77% a 4,11%)</t>
  </si>
  <si>
    <t>43 (24 a -130)</t>
  </si>
  <si>
    <t>0,05%</t>
  </si>
  <si>
    <t>0,55 (0,23-1,33)</t>
  </si>
  <si>
    <t>0,04% (-0,03% a 0,07%)</t>
  </si>
  <si>
    <t>2424 (1416 a -3358)</t>
  </si>
  <si>
    <t>0,11%</t>
  </si>
  <si>
    <t>0,09% (-0,06% a 0,15%)</t>
  </si>
  <si>
    <t>1131 (660 a -1566)</t>
  </si>
  <si>
    <t xml:space="preserve">% RA intervenc = </t>
  </si>
  <si>
    <r>
      <t xml:space="preserve">[Mort CV u Hosp Insuf Card] = </t>
    </r>
    <r>
      <rPr>
        <sz val="10"/>
        <color indexed="49"/>
        <rFont val="Calibri"/>
        <family val="2"/>
      </rPr>
      <t>MortCCvinsucár</t>
    </r>
  </si>
  <si>
    <t>Mortalidad por causa cardiovascular</t>
  </si>
  <si>
    <t>Mortalidad por causa renal</t>
  </si>
  <si>
    <t>Declinación de FGe hasta &lt;15 ml/min</t>
  </si>
  <si>
    <r>
      <t xml:space="preserve"> [ln(RRi) – ln(RR</t>
    </r>
    <r>
      <rPr>
        <vertAlign val="subscript"/>
        <sz val="10"/>
        <color theme="1"/>
        <rFont val="Calibri"/>
        <family val="2"/>
      </rPr>
      <t>comb</t>
    </r>
    <r>
      <rPr>
        <sz val="10"/>
        <color theme="1"/>
        <rFont val="Calibri"/>
        <family val="2"/>
      </rPr>
      <t xml:space="preserve"> )]</t>
    </r>
    <r>
      <rPr>
        <vertAlign val="superscript"/>
        <sz val="10"/>
        <color theme="1"/>
        <rFont val="Calibri"/>
        <family val="2"/>
      </rPr>
      <t>2</t>
    </r>
  </si>
  <si>
    <r>
      <t>Q = Suma [ w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 xml:space="preserve"> x (ln RR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 xml:space="preserve"> – ln RR</t>
    </r>
    <r>
      <rPr>
        <vertAlign val="subscript"/>
        <sz val="10"/>
        <color theme="1"/>
        <rFont val="Calibri"/>
        <family val="2"/>
      </rPr>
      <t>comb</t>
    </r>
    <r>
      <rPr>
        <sz val="10"/>
        <color theme="1"/>
        <rFont val="Calibri"/>
        <family val="2"/>
      </rPr>
      <t xml:space="preserve"> )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]</t>
    </r>
  </si>
  <si>
    <r>
      <t>suma(w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>)</t>
    </r>
  </si>
  <si>
    <r>
      <t>suma(w</t>
    </r>
    <r>
      <rPr>
        <vertAlign val="subscript"/>
        <sz val="10"/>
        <color theme="1"/>
        <rFont val="Calibri"/>
        <family val="2"/>
      </rPr>
      <t>i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)</t>
    </r>
  </si>
  <si>
    <r>
      <t>[suma(w</t>
    </r>
    <r>
      <rPr>
        <vertAlign val="subscript"/>
        <sz val="10"/>
        <color theme="1"/>
        <rFont val="Calibri"/>
        <family val="2"/>
      </rPr>
      <t>i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)/ suma(wi)]</t>
    </r>
  </si>
  <si>
    <r>
      <rPr>
        <i/>
        <sz val="10"/>
        <color theme="1"/>
        <rFont val="Symbol"/>
        <family val="1"/>
        <charset val="2"/>
      </rPr>
      <t>t</t>
    </r>
    <r>
      <rPr>
        <i/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teórica</t>
    </r>
  </si>
  <si>
    <r>
      <rPr>
        <i/>
        <sz val="10"/>
        <color theme="1"/>
        <rFont val="Symbol"/>
        <family val="1"/>
        <charset val="2"/>
      </rPr>
      <t>t</t>
    </r>
    <r>
      <rPr>
        <i/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a utilizar: 1) si Q &lt; k-1 =  0; 2) si no, =&gt; </t>
    </r>
    <r>
      <rPr>
        <i/>
        <sz val="10"/>
        <color theme="1"/>
        <rFont val="Calibri"/>
        <family val="2"/>
      </rPr>
      <t>τ</t>
    </r>
    <r>
      <rPr>
        <i/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teórica</t>
    </r>
  </si>
  <si>
    <r>
      <t>s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= 1/w</t>
    </r>
    <r>
      <rPr>
        <vertAlign val="subscript"/>
        <sz val="10"/>
        <color theme="1"/>
        <rFont val="Calibri"/>
        <family val="2"/>
      </rPr>
      <t>i</t>
    </r>
  </si>
  <si>
    <r>
      <t>w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>* = 1/ (</t>
    </r>
    <r>
      <rPr>
        <i/>
        <sz val="10"/>
        <color theme="1"/>
        <rFont val="Symbol"/>
        <family val="1"/>
        <charset val="2"/>
      </rPr>
      <t>t</t>
    </r>
    <r>
      <rPr>
        <i/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+ s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)</t>
    </r>
  </si>
  <si>
    <r>
      <t>%w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>*/suma w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>*</t>
    </r>
  </si>
  <si>
    <r>
      <t>[w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>* x ln(RR</t>
    </r>
    <r>
      <rPr>
        <vertAlign val="subscript"/>
        <sz val="10"/>
        <color theme="1"/>
        <rFont val="Calibri"/>
        <family val="2"/>
      </rPr>
      <t>i</t>
    </r>
    <r>
      <rPr>
        <sz val="10"/>
        <color theme="1"/>
        <rFont val="Calibri"/>
        <family val="2"/>
      </rPr>
      <t>]</t>
    </r>
  </si>
  <si>
    <r>
      <t>ln(RR</t>
    </r>
    <r>
      <rPr>
        <vertAlign val="subscript"/>
        <sz val="10"/>
        <color theme="1"/>
        <rFont val="Calibri"/>
        <family val="2"/>
      </rPr>
      <t>DL</t>
    </r>
    <r>
      <rPr>
        <sz val="10"/>
        <color theme="1"/>
        <rFont val="Calibri"/>
        <family val="2"/>
      </rPr>
      <t>)</t>
    </r>
  </si>
  <si>
    <r>
      <t xml:space="preserve"> RR</t>
    </r>
    <r>
      <rPr>
        <vertAlign val="subscript"/>
        <sz val="10"/>
        <color theme="1"/>
        <rFont val="Calibri"/>
        <family val="2"/>
      </rPr>
      <t>DL</t>
    </r>
  </si>
  <si>
    <r>
      <t>var del ln RR</t>
    </r>
    <r>
      <rPr>
        <vertAlign val="subscript"/>
        <sz val="10"/>
        <color theme="1"/>
        <rFont val="Calibri"/>
        <family val="2"/>
      </rPr>
      <t>DL</t>
    </r>
    <r>
      <rPr>
        <sz val="10"/>
        <color theme="1"/>
        <rFont val="Calibri"/>
        <family val="2"/>
      </rPr>
      <t xml:space="preserve"> = 1/w*</t>
    </r>
  </si>
  <si>
    <r>
      <t>EE del ln RR</t>
    </r>
    <r>
      <rPr>
        <vertAlign val="subscript"/>
        <sz val="10"/>
        <color theme="1"/>
        <rFont val="Calibri"/>
        <family val="2"/>
      </rPr>
      <t>DL</t>
    </r>
    <r>
      <rPr>
        <sz val="10"/>
        <color theme="1"/>
        <rFont val="Calibri"/>
        <family val="2"/>
      </rPr>
      <t>= Raíz (var del ln RR</t>
    </r>
    <r>
      <rPr>
        <vertAlign val="subscript"/>
        <sz val="10"/>
        <color theme="1"/>
        <rFont val="Calibri"/>
        <family val="2"/>
      </rPr>
      <t>DL</t>
    </r>
    <r>
      <rPr>
        <sz val="10"/>
        <color theme="1"/>
        <rFont val="Calibri"/>
        <family val="2"/>
      </rPr>
      <t>)</t>
    </r>
  </si>
  <si>
    <r>
      <t>Z</t>
    </r>
    <r>
      <rPr>
        <vertAlign val="subscript"/>
        <sz val="10"/>
        <color theme="1"/>
        <rFont val="Calibri"/>
        <family val="2"/>
      </rPr>
      <t xml:space="preserve"> α/2</t>
    </r>
  </si>
  <si>
    <r>
      <t>ln LI IC = ln RR</t>
    </r>
    <r>
      <rPr>
        <vertAlign val="subscript"/>
        <sz val="10"/>
        <color theme="1"/>
        <rFont val="Calibri"/>
        <family val="2"/>
      </rPr>
      <t>DL</t>
    </r>
    <r>
      <rPr>
        <sz val="10"/>
        <color theme="1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</si>
  <si>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color theme="1"/>
        <rFont val="Calibri"/>
        <family val="2"/>
      </rPr>
      <t>DL</t>
    </r>
    <r>
      <rPr>
        <sz val="10"/>
        <color theme="1"/>
        <rFont val="Calibri"/>
        <family val="2"/>
      </rPr>
      <t xml:space="preserve"> + Z α/2 *EE</t>
    </r>
  </si>
  <si>
    <r>
      <t>t</t>
    </r>
    <r>
      <rPr>
        <sz val="10"/>
        <color theme="1"/>
        <rFont val="Calibri"/>
        <family val="2"/>
      </rPr>
      <t xml:space="preserve"> teórica"= </t>
    </r>
    <r>
      <rPr>
        <i/>
        <sz val="10"/>
        <color theme="1"/>
        <rFont val="Calibri"/>
        <family val="2"/>
      </rPr>
      <t xml:space="preserve"> t</t>
    </r>
    <r>
      <rPr>
        <vertAlign val="subscript"/>
        <sz val="10"/>
        <color theme="1"/>
        <rFont val="Calibri"/>
        <family val="2"/>
      </rPr>
      <t>(k-2)- α/2)</t>
    </r>
    <r>
      <rPr>
        <sz val="10"/>
        <color theme="1"/>
        <rFont val="Calibri"/>
        <family val="2"/>
      </rPr>
      <t xml:space="preserve"> =</t>
    </r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</si>
  <si>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</si>
  <si>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</si>
  <si>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</si>
  <si>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</si>
  <si>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</si>
  <si>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</si>
  <si>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</si>
  <si>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</si>
  <si>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</si>
  <si>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r>
      <rPr>
        <b/>
        <sz val="12"/>
        <color rgb="FF993300"/>
        <rFont val="Calibri"/>
        <family val="2"/>
        <scheme val="minor"/>
      </rPr>
      <t>Tablas M-1 a 9:</t>
    </r>
    <r>
      <rPr>
        <b/>
        <sz val="12"/>
        <rFont val="Calibri"/>
        <family val="2"/>
        <scheme val="minor"/>
      </rPr>
      <t xml:space="preserve"> Metaanálisis de cada variable </t>
    </r>
    <r>
      <rPr>
        <b/>
        <u/>
        <sz val="12"/>
        <rFont val="Calibri"/>
        <family val="2"/>
        <scheme val="minor"/>
      </rPr>
      <t>de beneficios</t>
    </r>
    <r>
      <rPr>
        <b/>
        <sz val="12"/>
        <rFont val="Calibri"/>
        <family val="2"/>
        <scheme val="minor"/>
      </rPr>
      <t xml:space="preserve"> por el método del inverso de la varianza, desde los eventos hasta el RR (IC 95%), Intervalo de Predicción (IC 95%) e Índice de heterogeneidad </t>
    </r>
    <r>
      <rPr>
        <b/>
        <i/>
        <sz val="12"/>
        <rFont val="Calibri"/>
        <family val="2"/>
        <scheme val="minor"/>
      </rPr>
      <t>I</t>
    </r>
    <r>
      <rPr>
        <b/>
        <i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(IC 95%)</t>
    </r>
  </si>
  <si>
    <r>
      <t>Tabla M-1-&gt;nnt-1:</t>
    </r>
    <r>
      <rPr>
        <b/>
        <sz val="14"/>
        <rFont val="Calibri"/>
        <family val="2"/>
      </rPr>
      <t xml:space="preserve">  </t>
    </r>
  </si>
  <si>
    <r>
      <t>Tabla M-2-&gt;nnt-2:</t>
    </r>
    <r>
      <rPr>
        <b/>
        <sz val="14"/>
        <rFont val="Calibri"/>
        <family val="2"/>
      </rPr>
      <t xml:space="preserve">  </t>
    </r>
  </si>
  <si>
    <r>
      <t>Tabla M-3-&gt;nnt-3:</t>
    </r>
    <r>
      <rPr>
        <b/>
        <sz val="14"/>
        <rFont val="Calibri"/>
        <family val="2"/>
      </rPr>
      <t xml:space="preserve">  </t>
    </r>
  </si>
  <si>
    <r>
      <t>Tabla M-4-&gt;nnt-4:</t>
    </r>
    <r>
      <rPr>
        <b/>
        <sz val="14"/>
        <rFont val="Calibri"/>
        <family val="2"/>
      </rPr>
      <t xml:space="preserve">  </t>
    </r>
  </si>
  <si>
    <r>
      <t>Tabla M-5-&gt;nnt-5:</t>
    </r>
    <r>
      <rPr>
        <b/>
        <sz val="14"/>
        <rFont val="Calibri"/>
        <family val="2"/>
      </rPr>
      <t xml:space="preserve">  </t>
    </r>
  </si>
  <si>
    <r>
      <t>Tabla M-6-&gt;nnt-6:</t>
    </r>
    <r>
      <rPr>
        <b/>
        <sz val="14"/>
        <rFont val="Calibri"/>
        <family val="2"/>
      </rPr>
      <t xml:space="preserve">  </t>
    </r>
  </si>
  <si>
    <r>
      <t>Tabla M-7-&gt;nnt-7:</t>
    </r>
    <r>
      <rPr>
        <b/>
        <sz val="14"/>
        <rFont val="Calibri"/>
        <family val="2"/>
      </rPr>
      <t xml:space="preserve">  </t>
    </r>
  </si>
  <si>
    <r>
      <rPr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DAPA-CKD, Declinac FGe </t>
    </r>
    <r>
      <rPr>
        <sz val="10"/>
        <rFont val="Calibri"/>
        <family val="2"/>
      </rPr>
      <t>≥ 50</t>
    </r>
    <r>
      <rPr>
        <sz val="10"/>
        <rFont val="Calibri"/>
        <family val="2"/>
        <scheme val="minor"/>
      </rPr>
      <t>%; (</t>
    </r>
    <r>
      <rPr>
        <sz val="10"/>
        <color rgb="FF0000FF"/>
        <rFont val="Calibri"/>
        <family val="2"/>
        <scheme val="minor"/>
      </rPr>
      <t xml:space="preserve">**) </t>
    </r>
    <r>
      <rPr>
        <sz val="10"/>
        <rFont val="Calibri"/>
        <family val="2"/>
        <scheme val="minor"/>
      </rPr>
      <t xml:space="preserve">EMPA-KIDNEY, Declinac FGe </t>
    </r>
    <r>
      <rPr>
        <sz val="10"/>
        <rFont val="Calibri"/>
        <family val="2"/>
      </rPr>
      <t>≥ 40%.</t>
    </r>
  </si>
  <si>
    <r>
      <t xml:space="preserve">Declinacion de FGe </t>
    </r>
    <r>
      <rPr>
        <sz val="10"/>
        <rFont val="Calibri"/>
        <family val="2"/>
      </rPr>
      <t>≥ 40% (empa) o ≥ 50% (dapa) desde el inicio</t>
    </r>
  </si>
  <si>
    <t xml:space="preserve">Rebaja por haber fundido, FGe ≥ 40% (empa) o ≥ 50% (dapa) </t>
  </si>
  <si>
    <t>0,67 (0,25-1,81)</t>
  </si>
  <si>
    <t>0,55 (0,0-167)</t>
  </si>
  <si>
    <t>3,71%</t>
  </si>
  <si>
    <t>5,63%</t>
  </si>
  <si>
    <t>0,66 (0,49-0,89)</t>
  </si>
  <si>
    <t>1,92% (0,62% a 2,88%)</t>
  </si>
  <si>
    <t>52 (35 a 161)</t>
  </si>
  <si>
    <t>8,16%</t>
  </si>
  <si>
    <t>4,21% (1,36% a 6,33%)</t>
  </si>
  <si>
    <t>24 (16 a 73)</t>
  </si>
  <si>
    <t>3,63%</t>
  </si>
  <si>
    <t>0,67 (0,58-0,79)</t>
  </si>
  <si>
    <t>1,75% (1,15% a 2,26%)</t>
  </si>
  <si>
    <t>57 (44 a 87)</t>
  </si>
  <si>
    <t>0,82% (0,54% a 1,06%)</t>
  </si>
  <si>
    <t>122 (95 a 186)</t>
  </si>
  <si>
    <t>Heterogeneidad</t>
  </si>
  <si>
    <t>1 (0,84-1,19)</t>
  </si>
  <si>
    <t>0,89 (0,71-1,1)</t>
  </si>
  <si>
    <t>20190613-ECA CREDENCE 30m, ERC+100DM [Cana vs Pl], -ERT -MACE. Perkovic</t>
  </si>
  <si>
    <t>20201008-ECA DAPA-CKD 24m, ERC+67DM [Dapa vs Pl] –ERC -Mort. Heerspink</t>
  </si>
  <si>
    <t>20210114-ECA SCORED 16m, ERC+100DM [Sota vs Pl], -InsCar =Mort yCV. Bhatt</t>
  </si>
  <si>
    <t>20221104-ECA EMP-KN 24m, ERC [Empa vs Pl], -SLP-ERC =Mort. Herrington</t>
  </si>
  <si>
    <t>20221104-ECA EMP-KN 24m, ERC+45DM [Empa vs Pl], -ERC =Mort. Herrington</t>
  </si>
  <si>
    <t>Alta</t>
  </si>
  <si>
    <t>Baja</t>
  </si>
  <si>
    <t>Muy baja</t>
  </si>
  <si>
    <t>en 2 años</t>
  </si>
  <si>
    <r>
      <rPr>
        <sz val="10"/>
        <color rgb="FF0000FF"/>
        <rFont val="Calibri"/>
        <family val="2"/>
        <scheme val="minor"/>
      </rPr>
      <t>(*)</t>
    </r>
    <r>
      <rPr>
        <sz val="10"/>
        <color theme="1"/>
        <rFont val="Calibri"/>
        <family val="2"/>
        <scheme val="minor"/>
      </rPr>
      <t xml:space="preserve"> 20201008-ECA DAPA-CKD 24m, ERC+67DM [Dapa vs Pl] –ERC -Mort. Heerspink</t>
    </r>
  </si>
  <si>
    <r>
      <rPr>
        <sz val="10"/>
        <color rgb="FF0000FF"/>
        <rFont val="Calibri"/>
        <family val="2"/>
        <scheme val="minor"/>
      </rPr>
      <t xml:space="preserve">(**) </t>
    </r>
    <r>
      <rPr>
        <sz val="10"/>
        <color theme="1"/>
        <rFont val="Calibri"/>
        <family val="2"/>
        <scheme val="minor"/>
      </rPr>
      <t>20221104-ECA EMP-KN 24m, ERC [Empa vs Pl], -SLP-ERC =Mort. Herrington</t>
    </r>
  </si>
  <si>
    <r>
      <rPr>
        <sz val="10"/>
        <color rgb="FF0000FF"/>
        <rFont val="Calibri"/>
        <family val="2"/>
        <scheme val="minor"/>
      </rPr>
      <t xml:space="preserve">(*) </t>
    </r>
    <r>
      <rPr>
        <sz val="10"/>
        <color theme="1"/>
        <rFont val="Calibri"/>
        <family val="2"/>
        <scheme val="minor"/>
      </rPr>
      <t>20221104-ECA EMP-KN 24m, ERC [Empa vs Pl], -SLP-ERC =Mort. Herrington</t>
    </r>
  </si>
  <si>
    <r>
      <rPr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20201008-ECA DAPA-CKD 24m, ERC+67DM [Dapa vs Pl] –ERC -Mort. Heerspink</t>
    </r>
  </si>
  <si>
    <r>
      <rPr>
        <sz val="10"/>
        <color rgb="FF0000FF"/>
        <rFont val="Calibri"/>
        <family val="2"/>
        <scheme val="minor"/>
      </rPr>
      <t xml:space="preserve">(**) </t>
    </r>
    <r>
      <rPr>
        <sz val="10"/>
        <rFont val="Calibri"/>
        <family val="2"/>
        <scheme val="minor"/>
      </rPr>
      <t>20221104-ECA EMP-KN 24m, ERC+45DM [Empa vs Pl], -ERC =Mort. Herrington</t>
    </r>
  </si>
  <si>
    <t>Primer evento de [Diálisis o Trasplante renal]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</si>
</sst>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  <numFmt numFmtId="166" formatCode="_-* #,##0.0000\ _€_-;\-* #,##0.0000\ _€_-;_-* &quot;-&quot;??\ _€_-;_-@_-"/>
    <numFmt numFmtId="167" formatCode="_-* #,##0.000\ _€_-;\-* #,##0.000\ _€_-;_-* &quot;-&quot;??\ _€_-;_-@_-"/>
    <numFmt numFmtId="168" formatCode="_-* #,##0\ _€_-;\-* #,##0\ _€_-;_-* &quot;-&quot;??\ _€_-;_-@_-"/>
    <numFmt numFmtId="169" formatCode="0.000"/>
    <numFmt numFmtId="170" formatCode="0.0%"/>
    <numFmt numFmtId="171" formatCode="_-* #,##0.000\ _€_-;\-* #,##0.000\ _€_-;_-* &quot;-&quot;???\ _€_-;_-@_-"/>
    <numFmt numFmtId="172" formatCode="0.0000"/>
    <numFmt numFmtId="173" formatCode="_-* #,##0.00000000\ _€_-;\-* #,##0.00000000\ _€_-;_-* &quot;-&quot;????????\ _€_-;_-@_-"/>
    <numFmt numFmtId="174" formatCode="0.00000000000000000000000000000000000000000000000000000000000000000000000000000000000000000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#,##0.0"/>
    <numFmt numFmtId="178" formatCode="#,##0_ ;\-#,##0\ "/>
    <numFmt numFmtId="179" formatCode="0.0"/>
    <numFmt numFmtId="180" formatCode="0.000%"/>
    <numFmt numFmtId="181" formatCode="0.0000%"/>
    <numFmt numFmtId="182" formatCode="_-* #,##0.0\ _€_-;\-* #,##0.0\ _€_-;_-* &quot;-&quot;??\ _€_-;_-@_-"/>
    <numFmt numFmtId="183" formatCode="_-* #,##0.0\ _€_-;\-* #,##0.0\ _€_-;_-* &quot;-&quot;?\ _€_-;_-@_-"/>
    <numFmt numFmtId="184" formatCode="_-* #,##0.0000\ _€_-;\-* #,##0.0000\ _€_-;_-* &quot;-&quot;?\ _€_-;_-@_-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name val="Calibri"/>
      <family val="1"/>
      <charset val="2"/>
      <scheme val="minor"/>
    </font>
    <font>
      <i/>
      <sz val="10"/>
      <name val="Symbol"/>
      <family val="1"/>
      <charset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vertAlign val="superscript"/>
      <sz val="14"/>
      <name val="Calibri"/>
      <family val="2"/>
    </font>
    <font>
      <b/>
      <i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5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1"/>
      <color indexed="57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2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52"/>
      <name val="Calibri"/>
      <family val="2"/>
      <scheme val="minor"/>
    </font>
    <font>
      <b/>
      <i/>
      <sz val="10"/>
      <name val="Calibri"/>
      <family val="2"/>
    </font>
    <font>
      <i/>
      <sz val="10"/>
      <color indexed="20"/>
      <name val="Calibri"/>
      <family val="2"/>
      <scheme val="minor"/>
    </font>
    <font>
      <b/>
      <sz val="10"/>
      <color indexed="12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99CC00"/>
      <name val="Calibri"/>
      <family val="2"/>
    </font>
    <font>
      <sz val="10"/>
      <color rgb="FF000000"/>
      <name val="Calibri"/>
      <family val="2"/>
    </font>
    <font>
      <sz val="10"/>
      <color rgb="FFFF9900"/>
      <name val="Calibri"/>
      <family val="2"/>
    </font>
    <font>
      <sz val="10"/>
      <color rgb="FFFF00FF"/>
      <name val="Calibri"/>
      <family val="2"/>
    </font>
    <font>
      <sz val="10"/>
      <color rgb="FFFF0000"/>
      <name val="Calibri"/>
      <family val="2"/>
    </font>
    <font>
      <b/>
      <i/>
      <vertAlign val="superscript"/>
      <sz val="10"/>
      <name val="Calibri"/>
      <family val="2"/>
      <scheme val="minor"/>
    </font>
    <font>
      <sz val="10"/>
      <color indexed="49"/>
      <name val="Calibri"/>
      <family val="2"/>
    </font>
    <font>
      <sz val="14"/>
      <color indexed="8"/>
      <name val="Calibri"/>
      <family val="2"/>
      <scheme val="minor"/>
    </font>
    <font>
      <b/>
      <sz val="14"/>
      <color rgb="FFFFC000"/>
      <name val="Calibri"/>
      <family val="2"/>
    </font>
    <font>
      <b/>
      <sz val="14"/>
      <color rgb="FFFF3399"/>
      <name val="Calibri"/>
      <family val="2"/>
    </font>
    <font>
      <b/>
      <sz val="14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rgb="FF99CC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vertAlign val="superscript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99CC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993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7"/>
      <name val="Calibri"/>
      <family val="2"/>
    </font>
    <font>
      <b/>
      <sz val="10"/>
      <color rgb="FFFF993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C000"/>
      <name val="Calibri"/>
      <family val="2"/>
    </font>
    <font>
      <b/>
      <sz val="10"/>
      <color rgb="FFFFC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color theme="1"/>
      <name val="Calibri"/>
      <family val="1"/>
      <charset val="2"/>
      <scheme val="minor"/>
    </font>
    <font>
      <i/>
      <sz val="10"/>
      <color theme="1"/>
      <name val="Symbol"/>
      <family val="1"/>
      <charset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99330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vertAlign val="superscript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rgb="FF993300"/>
      <name val="Calibri"/>
      <family val="2"/>
    </font>
    <font>
      <sz val="9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Font="1" applyBorder="1" applyAlignment="1">
      <alignment horizontal="center"/>
    </xf>
    <xf numFmtId="166" fontId="2" fillId="0" borderId="0" xfId="1" applyNumberFormat="1" applyFont="1" applyBorder="1"/>
    <xf numFmtId="166" fontId="2" fillId="0" borderId="0" xfId="1" applyNumberFormat="1" applyFont="1" applyFill="1" applyBorder="1"/>
    <xf numFmtId="43" fontId="2" fillId="0" borderId="0" xfId="0" applyNumberFormat="1" applyFont="1"/>
    <xf numFmtId="0" fontId="7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2" borderId="4" xfId="0" applyFont="1" applyFill="1" applyBorder="1" applyAlignment="1">
      <alignment horizontal="left"/>
    </xf>
    <xf numFmtId="3" fontId="9" fillId="6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6" borderId="4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64" fontId="2" fillId="2" borderId="4" xfId="1" applyFont="1" applyFill="1" applyBorder="1"/>
    <xf numFmtId="167" fontId="2" fillId="0" borderId="4" xfId="1" applyNumberFormat="1" applyFont="1" applyBorder="1" applyAlignment="1">
      <alignment vertical="center"/>
    </xf>
    <xf numFmtId="168" fontId="2" fillId="0" borderId="4" xfId="0" applyNumberFormat="1" applyFont="1" applyBorder="1"/>
    <xf numFmtId="2" fontId="2" fillId="0" borderId="4" xfId="1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2" borderId="4" xfId="1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43" fontId="2" fillId="0" borderId="4" xfId="1" applyNumberFormat="1" applyFont="1" applyFill="1" applyBorder="1"/>
    <xf numFmtId="164" fontId="2" fillId="0" borderId="4" xfId="1" applyFont="1" applyFill="1" applyBorder="1"/>
    <xf numFmtId="164" fontId="2" fillId="0" borderId="0" xfId="1" applyFont="1" applyFill="1" applyBorder="1"/>
    <xf numFmtId="167" fontId="2" fillId="5" borderId="4" xfId="1" applyNumberFormat="1" applyFont="1" applyFill="1" applyBorder="1"/>
    <xf numFmtId="164" fontId="2" fillId="0" borderId="4" xfId="1" applyFont="1" applyBorder="1"/>
    <xf numFmtId="164" fontId="2" fillId="0" borderId="4" xfId="1" applyFont="1" applyBorder="1" applyAlignment="1">
      <alignment horizontal="center"/>
    </xf>
    <xf numFmtId="169" fontId="2" fillId="5" borderId="4" xfId="0" applyNumberFormat="1" applyFont="1" applyFill="1" applyBorder="1" applyAlignment="1">
      <alignment horizontal="center"/>
    </xf>
    <xf numFmtId="168" fontId="2" fillId="0" borderId="4" xfId="1" applyNumberFormat="1" applyFont="1" applyBorder="1"/>
    <xf numFmtId="170" fontId="4" fillId="0" borderId="4" xfId="2" applyNumberFormat="1" applyFont="1" applyBorder="1" applyAlignment="1">
      <alignment horizontal="center" vertical="center"/>
    </xf>
    <xf numFmtId="2" fontId="2" fillId="0" borderId="4" xfId="0" applyNumberFormat="1" applyFont="1" applyBorder="1"/>
    <xf numFmtId="171" fontId="2" fillId="0" borderId="4" xfId="0" applyNumberFormat="1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5" borderId="4" xfId="0" applyFont="1" applyFill="1" applyBorder="1"/>
    <xf numFmtId="0" fontId="7" fillId="2" borderId="4" xfId="0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4" fontId="7" fillId="2" borderId="4" xfId="1" applyFont="1" applyFill="1" applyBorder="1"/>
    <xf numFmtId="167" fontId="15" fillId="0" borderId="4" xfId="0" applyNumberFormat="1" applyFont="1" applyBorder="1"/>
    <xf numFmtId="168" fontId="7" fillId="0" borderId="4" xfId="0" applyNumberFormat="1" applyFont="1" applyBorder="1"/>
    <xf numFmtId="170" fontId="7" fillId="0" borderId="4" xfId="0" applyNumberFormat="1" applyFont="1" applyBorder="1"/>
    <xf numFmtId="2" fontId="7" fillId="0" borderId="4" xfId="1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164" fontId="7" fillId="0" borderId="0" xfId="1" applyFont="1" applyFill="1" applyBorder="1"/>
    <xf numFmtId="0" fontId="7" fillId="0" borderId="4" xfId="0" applyFont="1" applyBorder="1"/>
    <xf numFmtId="43" fontId="7" fillId="0" borderId="4" xfId="0" applyNumberFormat="1" applyFont="1" applyBorder="1"/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/>
    <xf numFmtId="164" fontId="7" fillId="0" borderId="4" xfId="1" applyFont="1" applyFill="1" applyBorder="1" applyAlignment="1">
      <alignment horizontal="center"/>
    </xf>
    <xf numFmtId="169" fontId="7" fillId="5" borderId="4" xfId="1" applyNumberFormat="1" applyFont="1" applyFill="1" applyBorder="1" applyAlignment="1">
      <alignment horizontal="center"/>
    </xf>
    <xf numFmtId="170" fontId="16" fillId="0" borderId="4" xfId="2" applyNumberFormat="1" applyFont="1" applyBorder="1" applyAlignment="1">
      <alignment horizontal="center" vertical="center"/>
    </xf>
    <xf numFmtId="171" fontId="7" fillId="0" borderId="4" xfId="0" applyNumberFormat="1" applyFont="1" applyBorder="1"/>
    <xf numFmtId="164" fontId="7" fillId="0" borderId="4" xfId="1" applyFont="1" applyFill="1" applyBorder="1"/>
    <xf numFmtId="172" fontId="7" fillId="0" borderId="0" xfId="0" applyNumberFormat="1" applyFont="1" applyAlignment="1">
      <alignment horizontal="center" vertical="center" wrapText="1"/>
    </xf>
    <xf numFmtId="0" fontId="7" fillId="0" borderId="0" xfId="0" applyFont="1"/>
    <xf numFmtId="43" fontId="7" fillId="2" borderId="4" xfId="0" applyNumberFormat="1" applyFont="1" applyFill="1" applyBorder="1" applyAlignment="1">
      <alignment horizontal="center"/>
    </xf>
    <xf numFmtId="170" fontId="7" fillId="5" borderId="4" xfId="2" applyNumberFormat="1" applyFont="1" applyFill="1" applyBorder="1"/>
    <xf numFmtId="9" fontId="7" fillId="5" borderId="4" xfId="2" applyFont="1" applyFill="1" applyBorder="1" applyAlignment="1">
      <alignment horizontal="center"/>
    </xf>
    <xf numFmtId="2" fontId="7" fillId="0" borderId="4" xfId="1" applyNumberFormat="1" applyFont="1" applyFill="1" applyBorder="1"/>
    <xf numFmtId="2" fontId="7" fillId="0" borderId="4" xfId="1" applyNumberFormat="1" applyFont="1" applyBorder="1" applyAlignment="1">
      <alignment horizontal="center"/>
    </xf>
    <xf numFmtId="2" fontId="7" fillId="0" borderId="4" xfId="1" applyNumberFormat="1" applyFont="1" applyBorder="1"/>
    <xf numFmtId="2" fontId="7" fillId="0" borderId="4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3" fontId="2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168" fontId="17" fillId="0" borderId="0" xfId="0" applyNumberFormat="1" applyFont="1"/>
    <xf numFmtId="164" fontId="17" fillId="0" borderId="0" xfId="1" applyFont="1" applyFill="1" applyBorder="1" applyAlignment="1">
      <alignment horizontal="center"/>
    </xf>
    <xf numFmtId="174" fontId="2" fillId="0" borderId="0" xfId="0" applyNumberFormat="1" applyFont="1"/>
    <xf numFmtId="0" fontId="7" fillId="0" borderId="4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/>
    <xf numFmtId="0" fontId="19" fillId="7" borderId="8" xfId="0" applyFont="1" applyFill="1" applyBorder="1" applyAlignment="1">
      <alignment horizontal="right" vertical="center"/>
    </xf>
    <xf numFmtId="2" fontId="2" fillId="7" borderId="9" xfId="0" applyNumberFormat="1" applyFont="1" applyFill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169" fontId="4" fillId="8" borderId="1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75" fontId="2" fillId="0" borderId="0" xfId="0" applyNumberFormat="1" applyFont="1"/>
    <xf numFmtId="176" fontId="2" fillId="0" borderId="0" xfId="1" applyNumberFormat="1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Fill="1"/>
    <xf numFmtId="43" fontId="2" fillId="0" borderId="4" xfId="0" applyNumberFormat="1" applyFont="1" applyBorder="1"/>
    <xf numFmtId="0" fontId="2" fillId="0" borderId="0" xfId="0" applyFont="1" applyAlignment="1">
      <alignment horizontal="center"/>
    </xf>
    <xf numFmtId="166" fontId="7" fillId="2" borderId="4" xfId="1" applyNumberFormat="1" applyFont="1" applyFill="1" applyBorder="1" applyAlignment="1">
      <alignment horizontal="right"/>
    </xf>
    <xf numFmtId="164" fontId="2" fillId="0" borderId="0" xfId="1" applyFont="1" applyAlignment="1">
      <alignment horizontal="center"/>
    </xf>
    <xf numFmtId="0" fontId="18" fillId="0" borderId="0" xfId="0" applyFont="1"/>
    <xf numFmtId="0" fontId="7" fillId="0" borderId="0" xfId="0" applyFont="1" applyAlignment="1">
      <alignment horizontal="right" vertical="center"/>
    </xf>
    <xf numFmtId="43" fontId="2" fillId="0" borderId="0" xfId="0" applyNumberFormat="1" applyFont="1" applyAlignment="1">
      <alignment horizontal="left" vertic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1" fillId="0" borderId="4" xfId="3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0" fontId="21" fillId="0" borderId="6" xfId="3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177" fontId="22" fillId="9" borderId="4" xfId="3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distributed"/>
    </xf>
    <xf numFmtId="3" fontId="2" fillId="0" borderId="4" xfId="1" applyNumberFormat="1" applyFont="1" applyFill="1" applyBorder="1" applyAlignment="1">
      <alignment horizontal="center" vertical="distributed"/>
    </xf>
    <xf numFmtId="177" fontId="21" fillId="10" borderId="4" xfId="3" applyNumberFormat="1" applyFont="1" applyFill="1" applyBorder="1" applyAlignment="1" applyProtection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10" fontId="7" fillId="0" borderId="4" xfId="2" applyNumberFormat="1" applyFont="1" applyFill="1" applyBorder="1" applyAlignment="1">
      <alignment horizontal="center" vertical="center"/>
    </xf>
    <xf numFmtId="179" fontId="7" fillId="8" borderId="4" xfId="0" applyNumberFormat="1" applyFont="1" applyFill="1" applyBorder="1" applyAlignment="1">
      <alignment horizontal="center" vertical="center"/>
    </xf>
    <xf numFmtId="10" fontId="2" fillId="0" borderId="0" xfId="2" applyNumberFormat="1" applyFont="1" applyFill="1"/>
    <xf numFmtId="0" fontId="2" fillId="0" borderId="7" xfId="0" applyFont="1" applyBorder="1" applyAlignment="1">
      <alignment horizontal="right" vertical="distributed"/>
    </xf>
    <xf numFmtId="10" fontId="2" fillId="6" borderId="10" xfId="2" applyNumberFormat="1" applyFont="1" applyFill="1" applyBorder="1" applyAlignment="1">
      <alignment horizontal="center" vertical="distributed"/>
    </xf>
    <xf numFmtId="10" fontId="7" fillId="0" borderId="0" xfId="2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180" fontId="2" fillId="0" borderId="0" xfId="2" applyNumberFormat="1" applyFont="1" applyAlignment="1">
      <alignment horizontal="left" vertical="center"/>
    </xf>
    <xf numFmtId="2" fontId="2" fillId="6" borderId="7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10" borderId="13" xfId="0" applyFont="1" applyFill="1" applyBorder="1" applyAlignment="1">
      <alignment horizontal="left"/>
    </xf>
    <xf numFmtId="0" fontId="2" fillId="10" borderId="14" xfId="0" applyFont="1" applyFill="1" applyBorder="1" applyAlignment="1">
      <alignment horizontal="center"/>
    </xf>
    <xf numFmtId="2" fontId="2" fillId="10" borderId="14" xfId="0" applyNumberFormat="1" applyFont="1" applyFill="1" applyBorder="1" applyAlignment="1">
      <alignment horizontal="center"/>
    </xf>
    <xf numFmtId="10" fontId="2" fillId="10" borderId="14" xfId="2" applyNumberFormat="1" applyFont="1" applyFill="1" applyBorder="1" applyAlignment="1">
      <alignment horizontal="center"/>
    </xf>
    <xf numFmtId="1" fontId="2" fillId="10" borderId="15" xfId="0" applyNumberFormat="1" applyFont="1" applyFill="1" applyBorder="1" applyAlignment="1">
      <alignment horizontal="center"/>
    </xf>
    <xf numFmtId="0" fontId="2" fillId="10" borderId="16" xfId="0" applyFont="1" applyFill="1" applyBorder="1" applyAlignment="1">
      <alignment horizontal="left"/>
    </xf>
    <xf numFmtId="167" fontId="2" fillId="10" borderId="0" xfId="0" applyNumberFormat="1" applyFont="1" applyFill="1" applyAlignment="1">
      <alignment horizontal="center"/>
    </xf>
    <xf numFmtId="10" fontId="2" fillId="10" borderId="0" xfId="0" applyNumberFormat="1" applyFont="1" applyFill="1" applyAlignment="1">
      <alignment horizontal="center"/>
    </xf>
    <xf numFmtId="2" fontId="2" fillId="10" borderId="0" xfId="0" applyNumberFormat="1" applyFont="1" applyFill="1" applyAlignment="1">
      <alignment horizontal="center"/>
    </xf>
    <xf numFmtId="10" fontId="2" fillId="10" borderId="0" xfId="2" applyNumberFormat="1" applyFont="1" applyFill="1" applyBorder="1" applyAlignment="1">
      <alignment horizontal="center"/>
    </xf>
    <xf numFmtId="1" fontId="2" fillId="10" borderId="17" xfId="0" applyNumberFormat="1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vertical="distributed"/>
    </xf>
    <xf numFmtId="0" fontId="2" fillId="10" borderId="18" xfId="0" applyFont="1" applyFill="1" applyBorder="1" applyAlignment="1">
      <alignment horizontal="left"/>
    </xf>
    <xf numFmtId="164" fontId="7" fillId="0" borderId="0" xfId="1" applyFont="1" applyAlignment="1">
      <alignment horizontal="right"/>
    </xf>
    <xf numFmtId="181" fontId="7" fillId="0" borderId="0" xfId="2" applyNumberFormat="1" applyFont="1"/>
    <xf numFmtId="0" fontId="7" fillId="0" borderId="19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/>
    </xf>
    <xf numFmtId="10" fontId="21" fillId="0" borderId="0" xfId="2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43" fontId="23" fillId="0" borderId="8" xfId="0" applyNumberFormat="1" applyFont="1" applyBorder="1" applyAlignment="1">
      <alignment horizontal="left" vertical="center"/>
    </xf>
    <xf numFmtId="0" fontId="23" fillId="2" borderId="8" xfId="0" applyFont="1" applyFill="1" applyBorder="1" applyAlignment="1">
      <alignment vertical="distributed"/>
    </xf>
    <xf numFmtId="0" fontId="23" fillId="2" borderId="10" xfId="0" applyFont="1" applyFill="1" applyBorder="1" applyAlignment="1">
      <alignment vertical="distributed"/>
    </xf>
    <xf numFmtId="0" fontId="6" fillId="6" borderId="22" xfId="0" applyFont="1" applyFill="1" applyBorder="1" applyAlignment="1">
      <alignment horizontal="center" vertical="distributed" wrapText="1"/>
    </xf>
    <xf numFmtId="0" fontId="6" fillId="6" borderId="23" xfId="0" applyFont="1" applyFill="1" applyBorder="1" applyAlignment="1">
      <alignment horizontal="center" vertical="distributed"/>
    </xf>
    <xf numFmtId="0" fontId="6" fillId="6" borderId="23" xfId="0" applyFont="1" applyFill="1" applyBorder="1" applyAlignment="1">
      <alignment horizontal="center" vertical="distributed" wrapText="1"/>
    </xf>
    <xf numFmtId="0" fontId="6" fillId="6" borderId="2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center" vertical="distributed" wrapText="1"/>
    </xf>
    <xf numFmtId="0" fontId="18" fillId="2" borderId="0" xfId="0" applyFont="1" applyFill="1" applyAlignment="1">
      <alignment horizontal="center"/>
    </xf>
    <xf numFmtId="179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distributed" wrapText="1"/>
    </xf>
    <xf numFmtId="10" fontId="18" fillId="2" borderId="4" xfId="2" applyNumberFormat="1" applyFont="1" applyFill="1" applyBorder="1" applyAlignment="1">
      <alignment horizontal="center" vertical="distributed" wrapText="1"/>
    </xf>
    <xf numFmtId="0" fontId="18" fillId="2" borderId="4" xfId="0" applyFont="1" applyFill="1" applyBorder="1" applyAlignment="1">
      <alignment horizontal="center" vertical="center"/>
    </xf>
    <xf numFmtId="170" fontId="19" fillId="2" borderId="4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distributed"/>
    </xf>
    <xf numFmtId="2" fontId="2" fillId="2" borderId="6" xfId="0" applyNumberFormat="1" applyFont="1" applyFill="1" applyBorder="1" applyAlignment="1">
      <alignment horizontal="center" vertical="distributed"/>
    </xf>
    <xf numFmtId="179" fontId="2" fillId="0" borderId="0" xfId="0" applyNumberFormat="1" applyFont="1" applyAlignment="1">
      <alignment horizontal="center" vertical="center"/>
    </xf>
    <xf numFmtId="1" fontId="25" fillId="2" borderId="28" xfId="1" applyNumberFormat="1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right" vertical="distributed"/>
    </xf>
    <xf numFmtId="0" fontId="27" fillId="2" borderId="4" xfId="0" applyFont="1" applyFill="1" applyBorder="1" applyAlignment="1">
      <alignment horizontal="center" vertical="distributed"/>
    </xf>
    <xf numFmtId="0" fontId="18" fillId="2" borderId="3" xfId="0" applyFont="1" applyFill="1" applyBorder="1" applyAlignment="1">
      <alignment horizontal="left" vertical="distributed" wrapText="1"/>
    </xf>
    <xf numFmtId="0" fontId="28" fillId="6" borderId="4" xfId="0" applyFont="1" applyFill="1" applyBorder="1" applyAlignment="1">
      <alignment horizontal="center" vertical="distributed" wrapText="1"/>
    </xf>
    <xf numFmtId="179" fontId="2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distributed" wrapText="1"/>
    </xf>
    <xf numFmtId="10" fontId="23" fillId="2" borderId="4" xfId="2" applyNumberFormat="1" applyFont="1" applyFill="1" applyBorder="1" applyAlignment="1">
      <alignment horizontal="center" vertical="distributed" wrapText="1"/>
    </xf>
    <xf numFmtId="170" fontId="30" fillId="2" borderId="1" xfId="0" applyNumberFormat="1" applyFont="1" applyFill="1" applyBorder="1" applyAlignment="1">
      <alignment horizontal="center" vertical="distributed"/>
    </xf>
    <xf numFmtId="10" fontId="2" fillId="2" borderId="0" xfId="2" applyNumberFormat="1" applyFont="1" applyFill="1"/>
    <xf numFmtId="164" fontId="7" fillId="2" borderId="0" xfId="1" applyFont="1" applyFill="1" applyBorder="1" applyAlignment="1">
      <alignment horizontal="center" vertical="distributed"/>
    </xf>
    <xf numFmtId="179" fontId="2" fillId="8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distributed"/>
    </xf>
    <xf numFmtId="0" fontId="2" fillId="2" borderId="0" xfId="0" applyFont="1" applyFill="1" applyAlignment="1">
      <alignment horizontal="center" vertical="distributed" wrapText="1"/>
    </xf>
    <xf numFmtId="0" fontId="16" fillId="2" borderId="0" xfId="0" applyFont="1" applyFill="1" applyAlignment="1">
      <alignment horizontal="center" vertical="distributed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distributed" wrapText="1"/>
    </xf>
    <xf numFmtId="10" fontId="7" fillId="2" borderId="0" xfId="2" applyNumberFormat="1" applyFont="1" applyFill="1" applyBorder="1" applyAlignment="1">
      <alignment horizontal="center" vertical="distributed" wrapText="1"/>
    </xf>
    <xf numFmtId="10" fontId="2" fillId="2" borderId="0" xfId="2" applyNumberFormat="1" applyFont="1" applyFill="1" applyBorder="1" applyAlignment="1">
      <alignment horizontal="center" vertical="distributed" wrapText="1"/>
    </xf>
    <xf numFmtId="170" fontId="4" fillId="2" borderId="0" xfId="0" applyNumberFormat="1" applyFont="1" applyFill="1" applyAlignment="1">
      <alignment horizontal="center" vertical="distributed"/>
    </xf>
    <xf numFmtId="0" fontId="2" fillId="2" borderId="0" xfId="0" applyFont="1" applyFill="1"/>
    <xf numFmtId="0" fontId="2" fillId="2" borderId="0" xfId="0" applyFont="1" applyFill="1" applyAlignment="1">
      <alignment horizontal="center" vertical="distributed"/>
    </xf>
    <xf numFmtId="0" fontId="27" fillId="2" borderId="29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distributed" wrapText="1"/>
    </xf>
    <xf numFmtId="0" fontId="27" fillId="2" borderId="25" xfId="0" applyFont="1" applyFill="1" applyBorder="1" applyAlignment="1">
      <alignment horizontal="center" vertical="distributed"/>
    </xf>
    <xf numFmtId="0" fontId="27" fillId="2" borderId="31" xfId="0" applyFont="1" applyFill="1" applyBorder="1" applyAlignment="1">
      <alignment horizontal="center" vertical="distributed" wrapText="1"/>
    </xf>
    <xf numFmtId="0" fontId="2" fillId="2" borderId="32" xfId="0" applyFont="1" applyFill="1" applyBorder="1" applyAlignment="1">
      <alignment horizontal="right" vertical="center"/>
    </xf>
    <xf numFmtId="10" fontId="32" fillId="2" borderId="30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179" fontId="32" fillId="2" borderId="30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10" fontId="33" fillId="2" borderId="34" xfId="0" applyNumberFormat="1" applyFont="1" applyFill="1" applyBorder="1" applyAlignment="1">
      <alignment horizontal="center" vertical="center"/>
    </xf>
    <xf numFmtId="10" fontId="33" fillId="2" borderId="35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distributed"/>
    </xf>
    <xf numFmtId="0" fontId="3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right" vertical="center"/>
    </xf>
    <xf numFmtId="10" fontId="32" fillId="2" borderId="38" xfId="0" applyNumberFormat="1" applyFont="1" applyFill="1" applyBorder="1" applyAlignment="1">
      <alignment horizontal="center" vertical="center"/>
    </xf>
    <xf numFmtId="170" fontId="2" fillId="2" borderId="38" xfId="2" applyNumberFormat="1" applyFont="1" applyFill="1" applyBorder="1" applyAlignment="1">
      <alignment horizontal="left" vertical="center"/>
    </xf>
    <xf numFmtId="2" fontId="2" fillId="2" borderId="38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179" fontId="32" fillId="2" borderId="38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10" fontId="33" fillId="2" borderId="39" xfId="0" applyNumberFormat="1" applyFont="1" applyFill="1" applyBorder="1" applyAlignment="1">
      <alignment horizontal="center" vertical="center"/>
    </xf>
    <xf numFmtId="10" fontId="33" fillId="2" borderId="40" xfId="0" applyNumberFormat="1" applyFont="1" applyFill="1" applyBorder="1" applyAlignment="1">
      <alignment horizontal="center" vertical="center"/>
    </xf>
    <xf numFmtId="164" fontId="14" fillId="2" borderId="40" xfId="1" applyFont="1" applyFill="1" applyBorder="1" applyAlignment="1">
      <alignment horizontal="center" vertical="distributed"/>
    </xf>
    <xf numFmtId="164" fontId="32" fillId="6" borderId="41" xfId="1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10" fontId="32" fillId="2" borderId="0" xfId="0" applyNumberFormat="1" applyFont="1" applyFill="1" applyAlignment="1">
      <alignment horizontal="center" vertical="center"/>
    </xf>
    <xf numFmtId="170" fontId="2" fillId="2" borderId="0" xfId="2" applyNumberFormat="1" applyFont="1" applyFill="1" applyBorder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79" fontId="32" fillId="2" borderId="0" xfId="0" applyNumberFormat="1" applyFont="1" applyFill="1" applyAlignment="1">
      <alignment horizontal="center" vertical="center"/>
    </xf>
    <xf numFmtId="10" fontId="33" fillId="2" borderId="0" xfId="0" applyNumberFormat="1" applyFont="1" applyFill="1" applyAlignment="1">
      <alignment horizontal="center" vertical="center"/>
    </xf>
    <xf numFmtId="164" fontId="23" fillId="2" borderId="0" xfId="1" applyFont="1" applyFill="1" applyBorder="1" applyAlignment="1">
      <alignment horizontal="center" vertical="distributed"/>
    </xf>
    <xf numFmtId="164" fontId="14" fillId="2" borderId="0" xfId="1" applyFont="1" applyFill="1" applyBorder="1" applyAlignment="1">
      <alignment horizontal="center" vertical="distributed"/>
    </xf>
    <xf numFmtId="164" fontId="32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6" borderId="7" xfId="0" applyFont="1" applyFill="1" applyBorder="1" applyAlignment="1">
      <alignment vertical="center"/>
    </xf>
    <xf numFmtId="10" fontId="33" fillId="6" borderId="8" xfId="2" applyNumberFormat="1" applyFont="1" applyFill="1" applyBorder="1" applyAlignment="1">
      <alignment horizontal="center" vertical="center"/>
    </xf>
    <xf numFmtId="10" fontId="23" fillId="6" borderId="8" xfId="2" applyNumberFormat="1" applyFont="1" applyFill="1" applyBorder="1" applyAlignment="1">
      <alignment horizontal="right" vertical="center"/>
    </xf>
    <xf numFmtId="164" fontId="14" fillId="2" borderId="0" xfId="1" applyFont="1" applyFill="1"/>
    <xf numFmtId="164" fontId="2" fillId="2" borderId="0" xfId="1" applyFont="1" applyFill="1"/>
    <xf numFmtId="0" fontId="23" fillId="2" borderId="0" xfId="0" applyFont="1" applyFill="1"/>
    <xf numFmtId="179" fontId="2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179" fontId="32" fillId="0" borderId="0" xfId="0" applyNumberFormat="1" applyFont="1" applyAlignment="1">
      <alignment horizontal="center" vertical="center"/>
    </xf>
    <xf numFmtId="164" fontId="35" fillId="0" borderId="0" xfId="1" applyFont="1" applyFill="1" applyBorder="1" applyAlignment="1">
      <alignment horizontal="center" vertical="distributed" wrapText="1"/>
    </xf>
    <xf numFmtId="164" fontId="6" fillId="0" borderId="0" xfId="1" applyFont="1" applyFill="1" applyBorder="1" applyAlignment="1">
      <alignment horizontal="right" vertical="distributed"/>
    </xf>
    <xf numFmtId="43" fontId="6" fillId="0" borderId="0" xfId="0" applyNumberFormat="1" applyFont="1" applyAlignment="1">
      <alignment horizontal="right" vertical="distributed"/>
    </xf>
    <xf numFmtId="10" fontId="18" fillId="0" borderId="0" xfId="2" applyNumberFormat="1" applyFont="1" applyBorder="1" applyAlignment="1">
      <alignment horizontal="center"/>
    </xf>
    <xf numFmtId="10" fontId="36" fillId="0" borderId="0" xfId="2" applyNumberFormat="1" applyFont="1" applyBorder="1" applyAlignment="1">
      <alignment horizontal="center"/>
    </xf>
    <xf numFmtId="10" fontId="37" fillId="0" borderId="0" xfId="0" applyNumberFormat="1" applyFont="1"/>
    <xf numFmtId="0" fontId="38" fillId="0" borderId="0" xfId="0" applyFont="1" applyAlignment="1">
      <alignment horizontal="right"/>
    </xf>
    <xf numFmtId="10" fontId="3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8" fontId="18" fillId="0" borderId="0" xfId="1" applyNumberFormat="1" applyFont="1" applyBorder="1" applyAlignment="1">
      <alignment horizontal="center"/>
    </xf>
    <xf numFmtId="10" fontId="18" fillId="0" borderId="0" xfId="2" applyNumberFormat="1" applyFont="1" applyFill="1" applyBorder="1" applyAlignment="1">
      <alignment horizontal="center"/>
    </xf>
    <xf numFmtId="168" fontId="18" fillId="0" borderId="0" xfId="0" applyNumberFormat="1" applyFont="1"/>
    <xf numFmtId="164" fontId="2" fillId="0" borderId="0" xfId="1" applyFont="1" applyFill="1" applyBorder="1" applyAlignment="1">
      <alignment horizontal="center" vertical="center"/>
    </xf>
    <xf numFmtId="43" fontId="18" fillId="0" borderId="0" xfId="0" applyNumberFormat="1" applyFont="1"/>
    <xf numFmtId="164" fontId="18" fillId="0" borderId="0" xfId="1" applyFont="1" applyFill="1" applyBorder="1"/>
    <xf numFmtId="164" fontId="18" fillId="0" borderId="0" xfId="1" applyFont="1" applyFill="1"/>
    <xf numFmtId="0" fontId="41" fillId="0" borderId="0" xfId="0" applyFont="1"/>
    <xf numFmtId="167" fontId="2" fillId="0" borderId="0" xfId="0" applyNumberFormat="1" applyFont="1" applyAlignment="1">
      <alignment horizontal="center"/>
    </xf>
    <xf numFmtId="182" fontId="7" fillId="0" borderId="4" xfId="1" applyNumberFormat="1" applyFont="1" applyBorder="1" applyAlignment="1">
      <alignment horizontal="center"/>
    </xf>
    <xf numFmtId="164" fontId="2" fillId="0" borderId="0" xfId="1" applyFont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2" fillId="0" borderId="0" xfId="1" applyFont="1" applyFill="1" applyAlignment="1">
      <alignment vertical="center"/>
    </xf>
    <xf numFmtId="0" fontId="42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168" fontId="2" fillId="12" borderId="4" xfId="0" applyNumberFormat="1" applyFont="1" applyFill="1" applyBorder="1" applyAlignment="1">
      <alignment vertical="center"/>
    </xf>
    <xf numFmtId="168" fontId="2" fillId="0" borderId="4" xfId="0" applyNumberFormat="1" applyFont="1" applyBorder="1" applyAlignment="1">
      <alignment vertical="center"/>
    </xf>
    <xf numFmtId="168" fontId="2" fillId="12" borderId="4" xfId="1" applyNumberFormat="1" applyFont="1" applyFill="1" applyBorder="1" applyAlignment="1">
      <alignment vertical="center"/>
    </xf>
    <xf numFmtId="0" fontId="43" fillId="0" borderId="4" xfId="0" applyFont="1" applyBorder="1" applyAlignment="1">
      <alignment horizontal="right" vertical="center"/>
    </xf>
    <xf numFmtId="168" fontId="7" fillId="0" borderId="4" xfId="1" applyNumberFormat="1" applyFont="1" applyBorder="1" applyAlignment="1">
      <alignment vertical="center"/>
    </xf>
    <xf numFmtId="0" fontId="44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2" fillId="0" borderId="0" xfId="0" applyNumberFormat="1" applyFont="1"/>
    <xf numFmtId="164" fontId="2" fillId="0" borderId="0" xfId="1" applyFont="1" applyFill="1"/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/>
    <xf numFmtId="10" fontId="2" fillId="0" borderId="0" xfId="0" applyNumberFormat="1" applyFont="1" applyAlignment="1">
      <alignment horizontal="center"/>
    </xf>
    <xf numFmtId="164" fontId="7" fillId="0" borderId="5" xfId="1" applyFont="1" applyFill="1" applyBorder="1" applyAlignment="1">
      <alignment horizontal="center" vertical="center" wrapText="1"/>
    </xf>
    <xf numFmtId="164" fontId="7" fillId="0" borderId="5" xfId="1" applyFont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2" fontId="7" fillId="11" borderId="4" xfId="0" applyNumberFormat="1" applyFont="1" applyFill="1" applyBorder="1" applyAlignment="1">
      <alignment horizontal="center"/>
    </xf>
    <xf numFmtId="43" fontId="7" fillId="0" borderId="0" xfId="0" applyNumberFormat="1" applyFont="1"/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45" fillId="0" borderId="0" xfId="1" applyFont="1" applyFill="1" applyBorder="1"/>
    <xf numFmtId="167" fontId="45" fillId="0" borderId="0" xfId="0" applyNumberFormat="1" applyFont="1" applyAlignment="1">
      <alignment horizontal="right"/>
    </xf>
    <xf numFmtId="43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 horizontal="right"/>
    </xf>
    <xf numFmtId="0" fontId="45" fillId="0" borderId="0" xfId="0" applyFont="1"/>
    <xf numFmtId="166" fontId="45" fillId="0" borderId="0" xfId="0" applyNumberFormat="1" applyFont="1"/>
    <xf numFmtId="182" fontId="45" fillId="0" borderId="0" xfId="0" applyNumberFormat="1" applyFont="1" applyAlignment="1">
      <alignment horizontal="right"/>
    </xf>
    <xf numFmtId="175" fontId="45" fillId="0" borderId="0" xfId="1" applyNumberFormat="1" applyFont="1" applyFill="1" applyBorder="1"/>
    <xf numFmtId="182" fontId="45" fillId="0" borderId="0" xfId="0" applyNumberFormat="1" applyFont="1" applyAlignment="1">
      <alignment horizontal="left"/>
    </xf>
    <xf numFmtId="182" fontId="2" fillId="0" borderId="0" xfId="0" applyNumberFormat="1" applyFont="1"/>
    <xf numFmtId="183" fontId="2" fillId="0" borderId="0" xfId="0" applyNumberFormat="1" applyFont="1"/>
    <xf numFmtId="0" fontId="46" fillId="0" borderId="0" xfId="0" applyFont="1"/>
    <xf numFmtId="168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2" fillId="0" borderId="0" xfId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center"/>
    </xf>
    <xf numFmtId="164" fontId="7" fillId="0" borderId="0" xfId="1" applyFont="1" applyFill="1" applyBorder="1" applyAlignment="1"/>
    <xf numFmtId="0" fontId="47" fillId="0" borderId="0" xfId="0" applyFont="1"/>
    <xf numFmtId="0" fontId="47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82" fontId="39" fillId="0" borderId="0" xfId="0" applyNumberFormat="1" applyFont="1"/>
    <xf numFmtId="182" fontId="39" fillId="0" borderId="0" xfId="0" applyNumberFormat="1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8" fillId="0" borderId="0" xfId="0" applyFont="1"/>
    <xf numFmtId="164" fontId="47" fillId="0" borderId="0" xfId="1" applyFont="1" applyFill="1" applyBorder="1" applyAlignment="1"/>
    <xf numFmtId="0" fontId="51" fillId="0" borderId="0" xfId="0" applyFont="1"/>
    <xf numFmtId="0" fontId="47" fillId="0" borderId="4" xfId="0" applyFont="1" applyBorder="1" applyAlignment="1">
      <alignment horizontal="center" vertical="distributed"/>
    </xf>
    <xf numFmtId="0" fontId="47" fillId="0" borderId="5" xfId="0" applyFont="1" applyBorder="1" applyAlignment="1">
      <alignment horizontal="center" vertical="distributed"/>
    </xf>
    <xf numFmtId="0" fontId="47" fillId="0" borderId="13" xfId="0" applyFont="1" applyBorder="1" applyAlignment="1">
      <alignment horizontal="center" vertical="distributed"/>
    </xf>
    <xf numFmtId="164" fontId="7" fillId="0" borderId="29" xfId="1" applyFont="1" applyFill="1" applyBorder="1" applyAlignment="1"/>
    <xf numFmtId="164" fontId="2" fillId="0" borderId="30" xfId="1" applyFont="1" applyFill="1" applyBorder="1" applyAlignment="1"/>
    <xf numFmtId="164" fontId="2" fillId="0" borderId="31" xfId="1" applyFont="1" applyFill="1" applyBorder="1" applyAlignment="1"/>
    <xf numFmtId="0" fontId="7" fillId="0" borderId="29" xfId="0" applyFont="1" applyBorder="1"/>
    <xf numFmtId="164" fontId="7" fillId="0" borderId="30" xfId="1" applyFont="1" applyFill="1" applyBorder="1" applyAlignment="1">
      <alignment horizontal="right"/>
    </xf>
    <xf numFmtId="0" fontId="7" fillId="0" borderId="30" xfId="0" applyFont="1" applyBorder="1" applyAlignment="1">
      <alignment horizontal="left"/>
    </xf>
    <xf numFmtId="0" fontId="2" fillId="0" borderId="30" xfId="0" applyFont="1" applyBorder="1"/>
    <xf numFmtId="0" fontId="2" fillId="0" borderId="31" xfId="0" applyFont="1" applyBorder="1"/>
    <xf numFmtId="168" fontId="39" fillId="0" borderId="4" xfId="0" applyNumberFormat="1" applyFont="1" applyBorder="1" applyAlignment="1">
      <alignment horizontal="center"/>
    </xf>
    <xf numFmtId="10" fontId="39" fillId="3" borderId="4" xfId="2" applyNumberFormat="1" applyFont="1" applyFill="1" applyBorder="1" applyAlignment="1">
      <alignment horizontal="center"/>
    </xf>
    <xf numFmtId="164" fontId="39" fillId="0" borderId="4" xfId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164" fontId="39" fillId="0" borderId="1" xfId="1" applyFont="1" applyFill="1" applyBorder="1" applyAlignment="1">
      <alignment horizontal="center"/>
    </xf>
    <xf numFmtId="10" fontId="47" fillId="3" borderId="4" xfId="2" applyNumberFormat="1" applyFont="1" applyFill="1" applyBorder="1" applyAlignment="1">
      <alignment horizontal="center"/>
    </xf>
    <xf numFmtId="10" fontId="47" fillId="4" borderId="4" xfId="2" applyNumberFormat="1" applyFont="1" applyFill="1" applyBorder="1" applyAlignment="1">
      <alignment horizontal="center"/>
    </xf>
    <xf numFmtId="10" fontId="47" fillId="11" borderId="1" xfId="2" applyNumberFormat="1" applyFont="1" applyFill="1" applyBorder="1" applyAlignment="1">
      <alignment horizontal="center"/>
    </xf>
    <xf numFmtId="168" fontId="2" fillId="0" borderId="43" xfId="0" applyNumberFormat="1" applyFont="1" applyBorder="1"/>
    <xf numFmtId="164" fontId="7" fillId="0" borderId="44" xfId="1" applyFont="1" applyFill="1" applyBorder="1" applyAlignment="1"/>
    <xf numFmtId="166" fontId="2" fillId="0" borderId="43" xfId="1" applyNumberFormat="1" applyFont="1" applyFill="1" applyBorder="1"/>
    <xf numFmtId="0" fontId="2" fillId="0" borderId="44" xfId="0" applyFont="1" applyBorder="1"/>
    <xf numFmtId="170" fontId="2" fillId="0" borderId="43" xfId="2" applyNumberFormat="1" applyFont="1" applyFill="1" applyBorder="1"/>
    <xf numFmtId="184" fontId="2" fillId="0" borderId="43" xfId="0" applyNumberFormat="1" applyFont="1" applyBorder="1"/>
    <xf numFmtId="168" fontId="53" fillId="0" borderId="4" xfId="0" applyNumberFormat="1" applyFont="1" applyBorder="1" applyAlignment="1">
      <alignment horizontal="center"/>
    </xf>
    <xf numFmtId="181" fontId="53" fillId="0" borderId="4" xfId="2" applyNumberFormat="1" applyFont="1" applyFill="1" applyBorder="1" applyAlignment="1">
      <alignment horizontal="center"/>
    </xf>
    <xf numFmtId="164" fontId="39" fillId="0" borderId="0" xfId="1" applyFont="1" applyBorder="1" applyAlignment="1">
      <alignment horizontal="center"/>
    </xf>
    <xf numFmtId="43" fontId="39" fillId="0" borderId="0" xfId="0" applyNumberFormat="1" applyFont="1" applyAlignment="1">
      <alignment horizontal="center"/>
    </xf>
    <xf numFmtId="164" fontId="39" fillId="0" borderId="0" xfId="1" applyFont="1" applyFill="1" applyBorder="1" applyAlignment="1">
      <alignment horizontal="center"/>
    </xf>
    <xf numFmtId="10" fontId="47" fillId="0" borderId="0" xfId="2" applyNumberFormat="1" applyFont="1" applyFill="1" applyBorder="1" applyAlignment="1"/>
    <xf numFmtId="170" fontId="7" fillId="0" borderId="43" xfId="2" applyNumberFormat="1" applyFont="1" applyFill="1" applyBorder="1"/>
    <xf numFmtId="167" fontId="7" fillId="0" borderId="43" xfId="1" applyNumberFormat="1" applyFont="1" applyFill="1" applyBorder="1"/>
    <xf numFmtId="43" fontId="2" fillId="0" borderId="45" xfId="0" applyNumberFormat="1" applyFont="1" applyBorder="1"/>
    <xf numFmtId="166" fontId="2" fillId="3" borderId="43" xfId="1" applyNumberFormat="1" applyFont="1" applyFill="1" applyBorder="1"/>
    <xf numFmtId="170" fontId="2" fillId="0" borderId="0" xfId="2" applyNumberFormat="1" applyFont="1"/>
    <xf numFmtId="10" fontId="7" fillId="3" borderId="45" xfId="2" applyNumberFormat="1" applyFont="1" applyFill="1" applyBorder="1"/>
    <xf numFmtId="176" fontId="2" fillId="0" borderId="0" xfId="0" applyNumberFormat="1" applyFont="1"/>
    <xf numFmtId="10" fontId="55" fillId="0" borderId="43" xfId="0" applyNumberFormat="1" applyFont="1" applyBorder="1"/>
    <xf numFmtId="0" fontId="56" fillId="0" borderId="0" xfId="0" applyFont="1"/>
    <xf numFmtId="0" fontId="47" fillId="0" borderId="0" xfId="0" applyFont="1" applyAlignment="1">
      <alignment horizontal="center"/>
    </xf>
    <xf numFmtId="49" fontId="7" fillId="0" borderId="0" xfId="0" applyNumberFormat="1" applyFont="1"/>
    <xf numFmtId="0" fontId="7" fillId="0" borderId="7" xfId="0" applyFont="1" applyBorder="1"/>
    <xf numFmtId="180" fontId="7" fillId="3" borderId="7" xfId="2" applyNumberFormat="1" applyFont="1" applyFill="1" applyBorder="1" applyAlignment="1">
      <alignment horizontal="center"/>
    </xf>
    <xf numFmtId="181" fontId="7" fillId="11" borderId="7" xfId="2" applyNumberFormat="1" applyFont="1" applyFill="1" applyBorder="1" applyAlignment="1">
      <alignment horizontal="center"/>
    </xf>
    <xf numFmtId="181" fontId="7" fillId="4" borderId="7" xfId="2" applyNumberFormat="1" applyFont="1" applyFill="1" applyBorder="1" applyAlignment="1">
      <alignment horizontal="center"/>
    </xf>
    <xf numFmtId="10" fontId="55" fillId="0" borderId="46" xfId="0" applyNumberFormat="1" applyFont="1" applyBorder="1"/>
    <xf numFmtId="0" fontId="56" fillId="0" borderId="47" xfId="0" applyFont="1" applyBorder="1"/>
    <xf numFmtId="0" fontId="2" fillId="0" borderId="47" xfId="0" applyFont="1" applyBorder="1"/>
    <xf numFmtId="171" fontId="2" fillId="0" borderId="47" xfId="0" applyNumberFormat="1" applyFont="1" applyBorder="1"/>
    <xf numFmtId="0" fontId="2" fillId="0" borderId="12" xfId="0" applyFont="1" applyBorder="1"/>
    <xf numFmtId="0" fontId="2" fillId="0" borderId="11" xfId="0" applyFont="1" applyBorder="1"/>
    <xf numFmtId="10" fontId="2" fillId="0" borderId="0" xfId="2" applyNumberFormat="1" applyFont="1"/>
    <xf numFmtId="0" fontId="7" fillId="0" borderId="9" xfId="0" applyFont="1" applyBorder="1"/>
    <xf numFmtId="1" fontId="7" fillId="3" borderId="7" xfId="0" applyNumberFormat="1" applyFont="1" applyFill="1" applyBorder="1" applyAlignment="1">
      <alignment horizontal="center"/>
    </xf>
    <xf numFmtId="1" fontId="7" fillId="11" borderId="7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0" fontId="2" fillId="0" borderId="0" xfId="1" applyNumberFormat="1" applyFont="1" applyFill="1" applyBorder="1"/>
    <xf numFmtId="168" fontId="2" fillId="0" borderId="0" xfId="1" applyNumberFormat="1" applyFont="1"/>
    <xf numFmtId="1" fontId="2" fillId="0" borderId="0" xfId="0" applyNumberFormat="1" applyFont="1"/>
    <xf numFmtId="0" fontId="2" fillId="0" borderId="1" xfId="0" applyFont="1" applyBorder="1"/>
    <xf numFmtId="49" fontId="7" fillId="0" borderId="4" xfId="1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167" fontId="2" fillId="0" borderId="0" xfId="1" applyNumberFormat="1" applyFont="1" applyFill="1" applyBorder="1"/>
    <xf numFmtId="1" fontId="7" fillId="13" borderId="4" xfId="0" applyNumberFormat="1" applyFont="1" applyFill="1" applyBorder="1" applyAlignment="1">
      <alignment horizontal="center" vertical="distributed"/>
    </xf>
    <xf numFmtId="1" fontId="7" fillId="14" borderId="4" xfId="0" applyNumberFormat="1" applyFont="1" applyFill="1" applyBorder="1" applyAlignment="1">
      <alignment horizontal="center" vertical="distributed"/>
    </xf>
    <xf numFmtId="167" fontId="2" fillId="0" borderId="0" xfId="0" applyNumberFormat="1" applyFont="1"/>
    <xf numFmtId="1" fontId="7" fillId="15" borderId="4" xfId="0" applyNumberFormat="1" applyFont="1" applyFill="1" applyBorder="1" applyAlignment="1">
      <alignment horizontal="center" vertical="distributed"/>
    </xf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68" fontId="7" fillId="0" borderId="0" xfId="0" applyNumberFormat="1" applyFont="1"/>
    <xf numFmtId="168" fontId="4" fillId="0" borderId="0" xfId="0" applyNumberFormat="1" applyFont="1"/>
    <xf numFmtId="168" fontId="7" fillId="0" borderId="0" xfId="0" applyNumberFormat="1" applyFont="1" applyAlignment="1">
      <alignment horizontal="center"/>
    </xf>
    <xf numFmtId="1" fontId="7" fillId="4" borderId="4" xfId="0" applyNumberFormat="1" applyFont="1" applyFill="1" applyBorder="1" applyAlignment="1">
      <alignment horizontal="center" vertical="distributed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Alignment="1">
      <alignment horizontal="center"/>
    </xf>
    <xf numFmtId="0" fontId="47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9" fillId="0" borderId="4" xfId="0" applyFont="1" applyBorder="1" applyAlignment="1">
      <alignment horizontal="right"/>
    </xf>
    <xf numFmtId="168" fontId="39" fillId="0" borderId="4" xfId="1" applyNumberFormat="1" applyFont="1" applyFill="1" applyBorder="1"/>
    <xf numFmtId="0" fontId="39" fillId="0" borderId="4" xfId="0" applyFont="1" applyBorder="1"/>
    <xf numFmtId="0" fontId="57" fillId="0" borderId="4" xfId="0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39" fillId="0" borderId="1" xfId="0" applyFont="1" applyBorder="1"/>
    <xf numFmtId="0" fontId="2" fillId="0" borderId="2" xfId="0" applyFont="1" applyBorder="1"/>
    <xf numFmtId="0" fontId="39" fillId="0" borderId="3" xfId="0" applyFont="1" applyBorder="1" applyAlignment="1">
      <alignment horizontal="right"/>
    </xf>
    <xf numFmtId="168" fontId="47" fillId="0" borderId="4" xfId="0" applyNumberFormat="1" applyFont="1" applyBorder="1" applyAlignment="1">
      <alignment horizontal="center"/>
    </xf>
    <xf numFmtId="168" fontId="47" fillId="0" borderId="4" xfId="1" applyNumberFormat="1" applyFont="1" applyFill="1" applyBorder="1"/>
    <xf numFmtId="168" fontId="39" fillId="0" borderId="0" xfId="1" applyNumberFormat="1" applyFont="1" applyFill="1" applyBorder="1"/>
    <xf numFmtId="168" fontId="47" fillId="0" borderId="0" xfId="1" applyNumberFormat="1" applyFont="1" applyFill="1" applyBorder="1"/>
    <xf numFmtId="0" fontId="58" fillId="0" borderId="43" xfId="0" applyFont="1" applyBorder="1"/>
    <xf numFmtId="168" fontId="39" fillId="0" borderId="0" xfId="1" applyNumberFormat="1" applyFont="1"/>
    <xf numFmtId="164" fontId="58" fillId="0" borderId="4" xfId="1" applyFont="1" applyBorder="1"/>
    <xf numFmtId="164" fontId="47" fillId="0" borderId="0" xfId="1" applyFont="1"/>
    <xf numFmtId="43" fontId="39" fillId="16" borderId="0" xfId="0" applyNumberFormat="1" applyFont="1" applyFill="1"/>
    <xf numFmtId="164" fontId="2" fillId="0" borderId="0" xfId="1" applyFont="1" applyBorder="1"/>
    <xf numFmtId="0" fontId="7" fillId="0" borderId="47" xfId="0" applyFont="1" applyBorder="1" applyAlignment="1">
      <alignment horizontal="right"/>
    </xf>
    <xf numFmtId="43" fontId="7" fillId="0" borderId="9" xfId="0" applyNumberFormat="1" applyFont="1" applyBorder="1"/>
    <xf numFmtId="43" fontId="39" fillId="0" borderId="0" xfId="0" applyNumberFormat="1" applyFont="1"/>
    <xf numFmtId="0" fontId="2" fillId="0" borderId="11" xfId="0" applyFont="1" applyBorder="1" applyAlignment="1">
      <alignment horizontal="right"/>
    </xf>
    <xf numFmtId="167" fontId="7" fillId="16" borderId="26" xfId="1" applyNumberFormat="1" applyFont="1" applyFill="1" applyBorder="1"/>
    <xf numFmtId="176" fontId="39" fillId="0" borderId="0" xfId="0" applyNumberFormat="1" applyFont="1"/>
    <xf numFmtId="9" fontId="2" fillId="0" borderId="0" xfId="2" applyFont="1" applyFill="1" applyBorder="1"/>
    <xf numFmtId="49" fontId="2" fillId="10" borderId="1" xfId="0" applyNumberFormat="1" applyFont="1" applyFill="1" applyBorder="1"/>
    <xf numFmtId="49" fontId="2" fillId="10" borderId="4" xfId="0" applyNumberFormat="1" applyFont="1" applyFill="1" applyBorder="1"/>
    <xf numFmtId="49" fontId="2" fillId="10" borderId="4" xfId="0" applyNumberFormat="1" applyFont="1" applyFill="1" applyBorder="1" applyAlignment="1">
      <alignment horizontal="left"/>
    </xf>
    <xf numFmtId="49" fontId="2" fillId="10" borderId="14" xfId="0" applyNumberFormat="1" applyFont="1" applyFill="1" applyBorder="1" applyAlignment="1">
      <alignment horizontal="left"/>
    </xf>
    <xf numFmtId="49" fontId="2" fillId="10" borderId="15" xfId="0" applyNumberFormat="1" applyFont="1" applyFill="1" applyBorder="1" applyAlignment="1">
      <alignment horizontal="left"/>
    </xf>
    <xf numFmtId="49" fontId="2" fillId="10" borderId="16" xfId="0" applyNumberFormat="1" applyFont="1" applyFill="1" applyBorder="1"/>
    <xf numFmtId="168" fontId="2" fillId="10" borderId="0" xfId="0" applyNumberFormat="1" applyFont="1" applyFill="1"/>
    <xf numFmtId="2" fontId="2" fillId="10" borderId="0" xfId="0" applyNumberFormat="1" applyFont="1" applyFill="1"/>
    <xf numFmtId="10" fontId="2" fillId="10" borderId="0" xfId="0" applyNumberFormat="1" applyFont="1" applyFill="1"/>
    <xf numFmtId="1" fontId="2" fillId="10" borderId="0" xfId="0" applyNumberFormat="1" applyFont="1" applyFill="1" applyAlignment="1">
      <alignment horizontal="center"/>
    </xf>
    <xf numFmtId="49" fontId="2" fillId="10" borderId="17" xfId="0" applyNumberFormat="1" applyFont="1" applyFill="1" applyBorder="1" applyAlignment="1">
      <alignment horizontal="left"/>
    </xf>
    <xf numFmtId="10" fontId="2" fillId="10" borderId="17" xfId="0" applyNumberFormat="1" applyFont="1" applyFill="1" applyBorder="1" applyAlignment="1">
      <alignment horizontal="center"/>
    </xf>
    <xf numFmtId="0" fontId="59" fillId="0" borderId="0" xfId="0" applyFont="1"/>
    <xf numFmtId="49" fontId="2" fillId="10" borderId="4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0" fontId="2" fillId="10" borderId="16" xfId="0" applyFont="1" applyFill="1" applyBorder="1"/>
    <xf numFmtId="49" fontId="2" fillId="10" borderId="18" xfId="0" applyNumberFormat="1" applyFont="1" applyFill="1" applyBorder="1"/>
    <xf numFmtId="0" fontId="2" fillId="10" borderId="48" xfId="0" applyFont="1" applyFill="1" applyBorder="1"/>
    <xf numFmtId="0" fontId="2" fillId="10" borderId="27" xfId="0" applyFont="1" applyFill="1" applyBorder="1"/>
    <xf numFmtId="49" fontId="7" fillId="10" borderId="4" xfId="0" applyNumberFormat="1" applyFont="1" applyFill="1" applyBorder="1" applyAlignment="1">
      <alignment horizontal="center" vertical="distributed"/>
    </xf>
    <xf numFmtId="0" fontId="7" fillId="10" borderId="4" xfId="0" applyFont="1" applyFill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169" fontId="2" fillId="0" borderId="4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1" fontId="9" fillId="6" borderId="20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6" borderId="20" xfId="1" applyNumberFormat="1" applyFont="1" applyFill="1" applyBorder="1" applyAlignment="1">
      <alignment horizontal="center" vertical="center"/>
    </xf>
    <xf numFmtId="1" fontId="2" fillId="6" borderId="2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distributed"/>
    </xf>
    <xf numFmtId="0" fontId="18" fillId="0" borderId="0" xfId="0" applyFont="1" applyAlignment="1">
      <alignment horizontal="center" vertical="center"/>
    </xf>
    <xf numFmtId="0" fontId="60" fillId="2" borderId="0" xfId="0" applyFont="1" applyFill="1" applyAlignment="1">
      <alignment vertical="center"/>
    </xf>
    <xf numFmtId="0" fontId="9" fillId="2" borderId="0" xfId="0" applyFont="1" applyFill="1"/>
    <xf numFmtId="10" fontId="9" fillId="2" borderId="0" xfId="2" applyNumberFormat="1" applyFont="1" applyFill="1"/>
    <xf numFmtId="164" fontId="40" fillId="17" borderId="0" xfId="1" applyFont="1" applyFill="1" applyBorder="1" applyAlignment="1" applyProtection="1">
      <alignment horizontal="center" vertical="distributed" wrapText="1"/>
    </xf>
    <xf numFmtId="10" fontId="40" fillId="17" borderId="0" xfId="2" applyNumberFormat="1" applyFont="1" applyFill="1" applyBorder="1" applyAlignment="1" applyProtection="1">
      <alignment horizontal="right" vertical="center"/>
    </xf>
    <xf numFmtId="0" fontId="40" fillId="17" borderId="9" xfId="0" applyFont="1" applyFill="1" applyBorder="1" applyAlignment="1">
      <alignment horizontal="center" vertical="center"/>
    </xf>
    <xf numFmtId="10" fontId="30" fillId="2" borderId="9" xfId="0" applyNumberFormat="1" applyFont="1" applyFill="1" applyBorder="1" applyAlignment="1">
      <alignment horizontal="center" vertical="distributed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2" fontId="7" fillId="8" borderId="4" xfId="1" applyNumberFormat="1" applyFont="1" applyFill="1" applyBorder="1" applyAlignment="1">
      <alignment horizontal="center"/>
    </xf>
    <xf numFmtId="164" fontId="2" fillId="8" borderId="1" xfId="1" applyFont="1" applyFill="1" applyBorder="1" applyAlignment="1">
      <alignment horizontal="center"/>
    </xf>
    <xf numFmtId="2" fontId="7" fillId="8" borderId="4" xfId="0" applyNumberFormat="1" applyFont="1" applyFill="1" applyBorder="1" applyAlignment="1">
      <alignment horizontal="center" vertical="center"/>
    </xf>
    <xf numFmtId="43" fontId="7" fillId="8" borderId="4" xfId="1" applyNumberFormat="1" applyFont="1" applyFill="1" applyBorder="1"/>
    <xf numFmtId="164" fontId="7" fillId="8" borderId="4" xfId="1" applyFont="1" applyFill="1" applyBorder="1"/>
    <xf numFmtId="166" fontId="7" fillId="8" borderId="4" xfId="1" applyNumberFormat="1" applyFont="1" applyFill="1" applyBorder="1"/>
    <xf numFmtId="172" fontId="7" fillId="8" borderId="4" xfId="0" applyNumberFormat="1" applyFont="1" applyFill="1" applyBorder="1" applyAlignment="1">
      <alignment horizontal="center" vertical="center" wrapText="1"/>
    </xf>
    <xf numFmtId="9" fontId="7" fillId="8" borderId="4" xfId="0" applyNumberFormat="1" applyFont="1" applyFill="1" applyBorder="1" applyAlignment="1">
      <alignment horizontal="center"/>
    </xf>
    <xf numFmtId="9" fontId="7" fillId="8" borderId="4" xfId="2" applyFont="1" applyFill="1" applyBorder="1" applyAlignment="1">
      <alignment horizontal="center"/>
    </xf>
    <xf numFmtId="0" fontId="2" fillId="8" borderId="7" xfId="0" applyFont="1" applyFill="1" applyBorder="1" applyAlignment="1">
      <alignment wrapText="1"/>
    </xf>
    <xf numFmtId="2" fontId="2" fillId="8" borderId="4" xfId="0" applyNumberFormat="1" applyFont="1" applyFill="1" applyBorder="1" applyAlignment="1">
      <alignment horizontal="center" vertical="center" wrapText="1"/>
    </xf>
    <xf numFmtId="9" fontId="2" fillId="6" borderId="4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  <xf numFmtId="1" fontId="67" fillId="2" borderId="28" xfId="1" applyNumberFormat="1" applyFont="1" applyFill="1" applyBorder="1" applyAlignment="1">
      <alignment vertical="center" wrapText="1"/>
    </xf>
    <xf numFmtId="164" fontId="70" fillId="6" borderId="9" xfId="1" applyFont="1" applyFill="1" applyBorder="1" applyAlignment="1">
      <alignment horizontal="center" vertical="distributed"/>
    </xf>
    <xf numFmtId="164" fontId="70" fillId="6" borderId="35" xfId="1" applyFont="1" applyFill="1" applyBorder="1" applyAlignment="1">
      <alignment horizontal="center" vertical="distributed"/>
    </xf>
    <xf numFmtId="0" fontId="71" fillId="6" borderId="35" xfId="0" applyFont="1" applyFill="1" applyBorder="1" applyAlignment="1">
      <alignment horizontal="center" vertical="distributed"/>
    </xf>
    <xf numFmtId="167" fontId="70" fillId="6" borderId="40" xfId="1" applyNumberFormat="1" applyFont="1" applyFill="1" applyBorder="1" applyAlignment="1">
      <alignment horizontal="center" vertical="distributed"/>
    </xf>
    <xf numFmtId="164" fontId="71" fillId="6" borderId="40" xfId="1" applyFont="1" applyFill="1" applyBorder="1" applyAlignment="1">
      <alignment horizontal="center" vertical="distributed"/>
    </xf>
    <xf numFmtId="164" fontId="72" fillId="2" borderId="10" xfId="1" applyFont="1" applyFill="1" applyBorder="1" applyAlignment="1">
      <alignment horizontal="center" vertical="center"/>
    </xf>
    <xf numFmtId="1" fontId="73" fillId="0" borderId="4" xfId="0" applyNumberFormat="1" applyFont="1" applyBorder="1" applyAlignment="1">
      <alignment horizontal="center" vertical="center"/>
    </xf>
    <xf numFmtId="1" fontId="74" fillId="0" borderId="4" xfId="0" applyNumberFormat="1" applyFont="1" applyBorder="1" applyAlignment="1">
      <alignment horizontal="center" vertical="center"/>
    </xf>
    <xf numFmtId="1" fontId="75" fillId="0" borderId="4" xfId="0" applyNumberFormat="1" applyFont="1" applyBorder="1" applyAlignment="1">
      <alignment horizontal="center" vertical="center"/>
    </xf>
    <xf numFmtId="0" fontId="76" fillId="6" borderId="4" xfId="0" applyFont="1" applyFill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distributed"/>
    </xf>
    <xf numFmtId="3" fontId="2" fillId="0" borderId="0" xfId="0" applyNumberFormat="1" applyFont="1" applyAlignment="1">
      <alignment horizontal="left" vertical="top"/>
    </xf>
    <xf numFmtId="2" fontId="84" fillId="8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" fontId="85" fillId="2" borderId="28" xfId="1" applyNumberFormat="1" applyFont="1" applyFill="1" applyBorder="1" applyAlignment="1">
      <alignment horizontal="center" vertical="center" wrapText="1"/>
    </xf>
    <xf numFmtId="4" fontId="21" fillId="10" borderId="4" xfId="3" applyNumberFormat="1" applyFont="1" applyFill="1" applyBorder="1" applyAlignment="1" applyProtection="1">
      <alignment horizontal="center" vertical="center"/>
    </xf>
    <xf numFmtId="49" fontId="85" fillId="2" borderId="28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/>
    </xf>
    <xf numFmtId="0" fontId="86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left" vertical="top"/>
    </xf>
    <xf numFmtId="164" fontId="72" fillId="0" borderId="9" xfId="1" applyFont="1" applyFill="1" applyBorder="1" applyAlignment="1">
      <alignment horizontal="center" vertical="distributed"/>
    </xf>
    <xf numFmtId="164" fontId="72" fillId="0" borderId="35" xfId="1" applyFont="1" applyFill="1" applyBorder="1" applyAlignment="1">
      <alignment horizontal="center" vertical="distributed"/>
    </xf>
    <xf numFmtId="167" fontId="72" fillId="0" borderId="40" xfId="1" applyNumberFormat="1" applyFont="1" applyFill="1" applyBorder="1" applyAlignment="1">
      <alignment horizontal="center" vertical="distributed"/>
    </xf>
    <xf numFmtId="0" fontId="14" fillId="0" borderId="35" xfId="0" applyFont="1" applyFill="1" applyBorder="1" applyAlignment="1">
      <alignment horizontal="center" vertical="distributed"/>
    </xf>
    <xf numFmtId="164" fontId="14" fillId="0" borderId="40" xfId="1" applyFont="1" applyFill="1" applyBorder="1" applyAlignment="1">
      <alignment horizontal="center" vertical="distributed"/>
    </xf>
    <xf numFmtId="2" fontId="88" fillId="0" borderId="4" xfId="0" applyNumberFormat="1" applyFont="1" applyBorder="1" applyAlignment="1">
      <alignment horizontal="center" vertical="center"/>
    </xf>
    <xf numFmtId="49" fontId="72" fillId="2" borderId="10" xfId="1" applyNumberFormat="1" applyFont="1" applyFill="1" applyBorder="1" applyAlignment="1">
      <alignment horizontal="center" vertical="center"/>
    </xf>
    <xf numFmtId="179" fontId="89" fillId="0" borderId="4" xfId="0" applyNumberFormat="1" applyFont="1" applyBorder="1" applyAlignment="1">
      <alignment horizontal="center" vertical="center"/>
    </xf>
    <xf numFmtId="0" fontId="91" fillId="17" borderId="9" xfId="0" applyFont="1" applyFill="1" applyBorder="1" applyAlignment="1">
      <alignment horizontal="center" vertical="center"/>
    </xf>
    <xf numFmtId="164" fontId="70" fillId="6" borderId="9" xfId="1" applyFont="1" applyFill="1" applyBorder="1" applyAlignment="1">
      <alignment horizontal="center" vertical="center"/>
    </xf>
    <xf numFmtId="1" fontId="92" fillId="0" borderId="4" xfId="0" applyNumberFormat="1" applyFont="1" applyBorder="1" applyAlignment="1">
      <alignment horizontal="center" vertical="center"/>
    </xf>
    <xf numFmtId="1" fontId="93" fillId="0" borderId="4" xfId="0" applyNumberFormat="1" applyFont="1" applyBorder="1" applyAlignment="1">
      <alignment horizontal="center" vertical="center"/>
    </xf>
    <xf numFmtId="0" fontId="94" fillId="0" borderId="35" xfId="0" applyFont="1" applyFill="1" applyBorder="1" applyAlignment="1">
      <alignment horizontal="center" vertical="distributed"/>
    </xf>
    <xf numFmtId="164" fontId="94" fillId="0" borderId="40" xfId="1" applyFont="1" applyFill="1" applyBorder="1" applyAlignment="1">
      <alignment horizontal="center" vertical="distributed"/>
    </xf>
    <xf numFmtId="164" fontId="72" fillId="0" borderId="9" xfId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right" vertical="distributed"/>
    </xf>
    <xf numFmtId="10" fontId="2" fillId="0" borderId="4" xfId="2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right" vertical="center"/>
    </xf>
    <xf numFmtId="180" fontId="2" fillId="0" borderId="4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wrapText="1"/>
    </xf>
    <xf numFmtId="9" fontId="2" fillId="0" borderId="30" xfId="0" applyNumberFormat="1" applyFont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wrapText="1"/>
    </xf>
    <xf numFmtId="169" fontId="4" fillId="8" borderId="13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justify" vertical="center"/>
    </xf>
    <xf numFmtId="0" fontId="81" fillId="0" borderId="0" xfId="0" applyFont="1" applyFill="1" applyBorder="1"/>
    <xf numFmtId="3" fontId="81" fillId="0" borderId="0" xfId="0" applyNumberFormat="1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center"/>
    </xf>
    <xf numFmtId="166" fontId="81" fillId="0" borderId="0" xfId="0" applyNumberFormat="1" applyFont="1" applyFill="1" applyBorder="1"/>
    <xf numFmtId="43" fontId="81" fillId="0" borderId="0" xfId="0" applyNumberFormat="1" applyFont="1" applyFill="1" applyBorder="1"/>
    <xf numFmtId="2" fontId="81" fillId="0" borderId="0" xfId="0" applyNumberFormat="1" applyFont="1" applyFill="1" applyBorder="1"/>
    <xf numFmtId="168" fontId="81" fillId="0" borderId="0" xfId="0" applyNumberFormat="1" applyFont="1" applyFill="1" applyBorder="1"/>
    <xf numFmtId="171" fontId="81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horizontal="right" vertical="center"/>
    </xf>
    <xf numFmtId="2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right"/>
    </xf>
    <xf numFmtId="2" fontId="81" fillId="0" borderId="0" xfId="0" applyNumberFormat="1" applyFont="1" applyFill="1" applyBorder="1" applyAlignment="1">
      <alignment horizontal="center" vertical="center" wrapText="1"/>
    </xf>
    <xf numFmtId="175" fontId="81" fillId="0" borderId="0" xfId="0" applyNumberFormat="1" applyFont="1" applyFill="1" applyBorder="1"/>
    <xf numFmtId="164" fontId="81" fillId="0" borderId="0" xfId="1" applyFont="1" applyFill="1" applyBorder="1"/>
    <xf numFmtId="176" fontId="81" fillId="0" borderId="0" xfId="1" applyNumberFormat="1" applyFont="1" applyFill="1" applyBorder="1"/>
    <xf numFmtId="0" fontId="82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vertical="center"/>
    </xf>
    <xf numFmtId="0" fontId="97" fillId="0" borderId="0" xfId="0" applyFont="1" applyFill="1" applyBorder="1"/>
    <xf numFmtId="0" fontId="82" fillId="0" borderId="0" xfId="0" applyFont="1" applyFill="1" applyBorder="1" applyAlignment="1">
      <alignment horizontal="left"/>
    </xf>
    <xf numFmtId="164" fontId="81" fillId="0" borderId="0" xfId="1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164" fontId="81" fillId="0" borderId="0" xfId="1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left"/>
    </xf>
    <xf numFmtId="0" fontId="82" fillId="0" borderId="0" xfId="0" applyFont="1" applyAlignment="1">
      <alignment horizontal="center"/>
    </xf>
    <xf numFmtId="0" fontId="81" fillId="5" borderId="4" xfId="0" applyFont="1" applyFill="1" applyBorder="1" applyAlignment="1">
      <alignment horizontal="center" vertical="center"/>
    </xf>
    <xf numFmtId="0" fontId="81" fillId="0" borderId="4" xfId="0" applyFont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center"/>
    </xf>
    <xf numFmtId="0" fontId="100" fillId="5" borderId="4" xfId="0" applyFont="1" applyFill="1" applyBorder="1" applyAlignment="1">
      <alignment horizontal="center" vertical="center" wrapText="1"/>
    </xf>
    <xf numFmtId="0" fontId="81" fillId="8" borderId="4" xfId="0" applyFont="1" applyFill="1" applyBorder="1" applyAlignment="1">
      <alignment horizontal="center" vertical="center"/>
    </xf>
    <xf numFmtId="0" fontId="81" fillId="8" borderId="4" xfId="0" applyFont="1" applyFill="1" applyBorder="1" applyAlignment="1">
      <alignment horizontal="center" vertical="center" wrapText="1"/>
    </xf>
    <xf numFmtId="0" fontId="81" fillId="0" borderId="0" xfId="0" applyFont="1"/>
    <xf numFmtId="167" fontId="81" fillId="5" borderId="4" xfId="1" applyNumberFormat="1" applyFont="1" applyFill="1" applyBorder="1"/>
    <xf numFmtId="164" fontId="81" fillId="0" borderId="4" xfId="1" applyFont="1" applyBorder="1"/>
    <xf numFmtId="0" fontId="81" fillId="0" borderId="4" xfId="0" applyFont="1" applyBorder="1" applyAlignment="1">
      <alignment horizontal="center"/>
    </xf>
    <xf numFmtId="0" fontId="81" fillId="0" borderId="4" xfId="0" applyFont="1" applyBorder="1"/>
    <xf numFmtId="168" fontId="81" fillId="0" borderId="4" xfId="0" applyNumberFormat="1" applyFont="1" applyBorder="1"/>
    <xf numFmtId="164" fontId="81" fillId="0" borderId="4" xfId="1" applyFont="1" applyBorder="1" applyAlignment="1">
      <alignment horizontal="center"/>
    </xf>
    <xf numFmtId="169" fontId="81" fillId="5" borderId="4" xfId="0" applyNumberFormat="1" applyFont="1" applyFill="1" applyBorder="1" applyAlignment="1">
      <alignment horizontal="center"/>
    </xf>
    <xf numFmtId="168" fontId="81" fillId="0" borderId="4" xfId="1" applyNumberFormat="1" applyFont="1" applyBorder="1"/>
    <xf numFmtId="170" fontId="104" fillId="0" borderId="4" xfId="2" applyNumberFormat="1" applyFont="1" applyBorder="1" applyAlignment="1">
      <alignment horizontal="center" vertical="center"/>
    </xf>
    <xf numFmtId="2" fontId="81" fillId="0" borderId="4" xfId="0" applyNumberFormat="1" applyFont="1" applyBorder="1"/>
    <xf numFmtId="2" fontId="81" fillId="0" borderId="4" xfId="1" applyNumberFormat="1" applyFont="1" applyFill="1" applyBorder="1" applyAlignment="1">
      <alignment horizontal="center"/>
    </xf>
    <xf numFmtId="171" fontId="81" fillId="0" borderId="4" xfId="0" applyNumberFormat="1" applyFont="1" applyBorder="1"/>
    <xf numFmtId="164" fontId="81" fillId="0" borderId="4" xfId="1" applyFont="1" applyFill="1" applyBorder="1"/>
    <xf numFmtId="164" fontId="81" fillId="0" borderId="1" xfId="1" applyFont="1" applyFill="1" applyBorder="1" applyAlignment="1">
      <alignment horizontal="center"/>
    </xf>
    <xf numFmtId="2" fontId="81" fillId="0" borderId="4" xfId="0" applyNumberFormat="1" applyFont="1" applyBorder="1" applyAlignment="1">
      <alignment horizontal="center" vertical="center"/>
    </xf>
    <xf numFmtId="2" fontId="81" fillId="0" borderId="4" xfId="0" applyNumberFormat="1" applyFont="1" applyBorder="1" applyAlignment="1">
      <alignment horizontal="center" vertical="center" wrapText="1"/>
    </xf>
    <xf numFmtId="164" fontId="82" fillId="0" borderId="0" xfId="1" applyFont="1" applyFill="1" applyBorder="1"/>
    <xf numFmtId="0" fontId="82" fillId="0" borderId="4" xfId="0" applyFont="1" applyBorder="1"/>
    <xf numFmtId="43" fontId="82" fillId="0" borderId="4" xfId="0" applyNumberFormat="1" applyFont="1" applyBorder="1"/>
    <xf numFmtId="0" fontId="82" fillId="0" borderId="4" xfId="0" applyFont="1" applyBorder="1" applyAlignment="1">
      <alignment horizontal="center"/>
    </xf>
    <xf numFmtId="2" fontId="82" fillId="0" borderId="4" xfId="0" applyNumberFormat="1" applyFont="1" applyBorder="1"/>
    <xf numFmtId="168" fontId="82" fillId="0" borderId="4" xfId="0" applyNumberFormat="1" applyFont="1" applyBorder="1"/>
    <xf numFmtId="164" fontId="82" fillId="0" borderId="4" xfId="1" applyFont="1" applyFill="1" applyBorder="1" applyAlignment="1">
      <alignment horizontal="center"/>
    </xf>
    <xf numFmtId="169" fontId="82" fillId="5" borderId="4" xfId="1" applyNumberFormat="1" applyFont="1" applyFill="1" applyBorder="1" applyAlignment="1">
      <alignment horizontal="center"/>
    </xf>
    <xf numFmtId="170" fontId="105" fillId="0" borderId="4" xfId="2" applyNumberFormat="1" applyFont="1" applyBorder="1" applyAlignment="1">
      <alignment horizontal="center" vertical="center"/>
    </xf>
    <xf numFmtId="2" fontId="82" fillId="8" borderId="4" xfId="1" applyNumberFormat="1" applyFont="1" applyFill="1" applyBorder="1" applyAlignment="1">
      <alignment horizontal="center"/>
    </xf>
    <xf numFmtId="171" fontId="82" fillId="0" borderId="4" xfId="0" applyNumberFormat="1" applyFont="1" applyBorder="1"/>
    <xf numFmtId="164" fontId="82" fillId="0" borderId="4" xfId="1" applyFont="1" applyFill="1" applyBorder="1"/>
    <xf numFmtId="2" fontId="82" fillId="0" borderId="4" xfId="0" applyNumberFormat="1" applyFont="1" applyBorder="1" applyAlignment="1">
      <alignment horizontal="center" vertical="center"/>
    </xf>
    <xf numFmtId="2" fontId="82" fillId="8" borderId="4" xfId="0" applyNumberFormat="1" applyFont="1" applyFill="1" applyBorder="1" applyAlignment="1">
      <alignment horizontal="center" vertical="center" wrapText="1"/>
    </xf>
    <xf numFmtId="0" fontId="82" fillId="0" borderId="0" xfId="0" applyFont="1"/>
    <xf numFmtId="168" fontId="82" fillId="0" borderId="0" xfId="0" applyNumberFormat="1" applyFont="1"/>
    <xf numFmtId="164" fontId="82" fillId="0" borderId="0" xfId="1" applyFont="1" applyFill="1" applyBorder="1" applyAlignment="1">
      <alignment horizontal="center"/>
    </xf>
    <xf numFmtId="174" fontId="81" fillId="0" borderId="0" xfId="0" applyNumberFormat="1" applyFont="1"/>
    <xf numFmtId="43" fontId="81" fillId="0" borderId="0" xfId="0" applyNumberFormat="1" applyFont="1"/>
    <xf numFmtId="2" fontId="81" fillId="0" borderId="0" xfId="0" applyNumberFormat="1" applyFont="1"/>
    <xf numFmtId="168" fontId="81" fillId="0" borderId="0" xfId="0" applyNumberFormat="1" applyFont="1"/>
    <xf numFmtId="171" fontId="81" fillId="0" borderId="0" xfId="0" applyNumberFormat="1" applyFont="1"/>
    <xf numFmtId="0" fontId="95" fillId="7" borderId="8" xfId="0" applyFont="1" applyFill="1" applyBorder="1" applyAlignment="1">
      <alignment horizontal="right" vertical="center"/>
    </xf>
    <xf numFmtId="2" fontId="81" fillId="7" borderId="9" xfId="0" applyNumberFormat="1" applyFont="1" applyFill="1" applyBorder="1" applyAlignment="1">
      <alignment horizontal="center" vertical="center"/>
    </xf>
    <xf numFmtId="0" fontId="81" fillId="8" borderId="7" xfId="0" applyFont="1" applyFill="1" applyBorder="1" applyAlignment="1">
      <alignment wrapText="1"/>
    </xf>
    <xf numFmtId="9" fontId="81" fillId="0" borderId="8" xfId="0" applyNumberFormat="1" applyFont="1" applyBorder="1" applyAlignment="1">
      <alignment horizontal="center" vertical="center" wrapText="1"/>
    </xf>
    <xf numFmtId="2" fontId="81" fillId="8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5" fillId="0" borderId="0" xfId="0" applyFont="1" applyAlignment="1">
      <alignment horizontal="right" vertical="center"/>
    </xf>
    <xf numFmtId="2" fontId="81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right"/>
    </xf>
    <xf numFmtId="2" fontId="81" fillId="0" borderId="0" xfId="0" applyNumberFormat="1" applyFont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7" fillId="18" borderId="0" xfId="0" applyFont="1" applyFill="1" applyAlignment="1">
      <alignment vertical="center"/>
    </xf>
    <xf numFmtId="0" fontId="7" fillId="19" borderId="0" xfId="0" applyFont="1" applyFill="1" applyAlignment="1">
      <alignment vertical="center"/>
    </xf>
    <xf numFmtId="0" fontId="7" fillId="18" borderId="0" xfId="0" applyFont="1" applyFill="1"/>
    <xf numFmtId="0" fontId="27" fillId="0" borderId="0" xfId="0" applyFont="1" applyAlignment="1">
      <alignment horizontal="left"/>
    </xf>
    <xf numFmtId="0" fontId="14" fillId="0" borderId="0" xfId="0" applyFont="1"/>
    <xf numFmtId="164" fontId="107" fillId="0" borderId="0" xfId="1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12" fillId="17" borderId="7" xfId="0" applyFont="1" applyFill="1" applyBorder="1" applyAlignment="1">
      <alignment horizontal="left" vertical="center" wrapText="1"/>
    </xf>
    <xf numFmtId="0" fontId="113" fillId="0" borderId="0" xfId="0" applyFont="1" applyAlignment="1">
      <alignment vertical="center" wrapText="1"/>
    </xf>
    <xf numFmtId="0" fontId="91" fillId="17" borderId="0" xfId="0" applyFont="1" applyFill="1" applyBorder="1" applyAlignment="1">
      <alignment horizontal="left" vertical="center"/>
    </xf>
    <xf numFmtId="177" fontId="2" fillId="0" borderId="0" xfId="0" applyNumberFormat="1" applyFont="1" applyAlignment="1">
      <alignment horizontal="center"/>
    </xf>
    <xf numFmtId="170" fontId="4" fillId="0" borderId="0" xfId="2" applyNumberFormat="1" applyFont="1" applyAlignment="1">
      <alignment horizontal="center"/>
    </xf>
    <xf numFmtId="0" fontId="27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vertical="center"/>
    </xf>
    <xf numFmtId="164" fontId="107" fillId="2" borderId="8" xfId="1" applyFont="1" applyFill="1" applyBorder="1" applyAlignment="1">
      <alignment horizontal="center" vertical="center"/>
    </xf>
    <xf numFmtId="0" fontId="107" fillId="2" borderId="8" xfId="0" applyFont="1" applyFill="1" applyBorder="1" applyAlignment="1">
      <alignment horizontal="center" vertical="center"/>
    </xf>
    <xf numFmtId="0" fontId="108" fillId="2" borderId="8" xfId="0" applyFont="1" applyFill="1" applyBorder="1" applyAlignment="1">
      <alignment horizontal="center" vertical="center"/>
    </xf>
    <xf numFmtId="166" fontId="2" fillId="2" borderId="8" xfId="1" applyNumberFormat="1" applyFont="1" applyFill="1" applyBorder="1" applyAlignment="1">
      <alignment vertical="center"/>
    </xf>
    <xf numFmtId="166" fontId="2" fillId="2" borderId="10" xfId="1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distributed"/>
    </xf>
    <xf numFmtId="0" fontId="93" fillId="0" borderId="0" xfId="0" applyFont="1" applyAlignment="1">
      <alignment horizontal="center" vertical="center"/>
    </xf>
    <xf numFmtId="0" fontId="93" fillId="0" borderId="0" xfId="0" applyFont="1"/>
    <xf numFmtId="178" fontId="93" fillId="0" borderId="0" xfId="1" applyNumberFormat="1" applyFont="1" applyFill="1" applyBorder="1" applyAlignment="1">
      <alignment horizontal="right" vertical="center"/>
    </xf>
    <xf numFmtId="178" fontId="114" fillId="0" borderId="0" xfId="1" applyNumberFormat="1" applyFont="1" applyFill="1" applyBorder="1" applyAlignment="1">
      <alignment horizontal="right" vertical="center"/>
    </xf>
    <xf numFmtId="0" fontId="1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2" fillId="0" borderId="1" xfId="0" applyFont="1" applyBorder="1" applyAlignment="1">
      <alignment horizontal="left" vertical="center" wrapText="1"/>
    </xf>
    <xf numFmtId="0" fontId="82" fillId="0" borderId="2" xfId="0" applyFont="1" applyBorder="1" applyAlignment="1">
      <alignment horizontal="left" vertical="center" wrapText="1"/>
    </xf>
    <xf numFmtId="0" fontId="82" fillId="0" borderId="3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/>
    </xf>
    <xf numFmtId="0" fontId="31" fillId="2" borderId="31" xfId="0" applyFont="1" applyFill="1" applyBorder="1" applyAlignment="1">
      <alignment horizontal="left" vertical="center"/>
    </xf>
    <xf numFmtId="0" fontId="32" fillId="2" borderId="29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distributed" wrapText="1"/>
    </xf>
    <xf numFmtId="0" fontId="6" fillId="2" borderId="26" xfId="0" applyFont="1" applyFill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39" fillId="0" borderId="25" xfId="0" applyFont="1" applyBorder="1" applyAlignment="1">
      <alignment horizontal="center" vertical="center" textRotation="90"/>
    </xf>
    <xf numFmtId="0" fontId="39" fillId="0" borderId="42" xfId="0" applyFont="1" applyBorder="1" applyAlignment="1">
      <alignment horizontal="center" vertical="center" textRotation="90"/>
    </xf>
    <xf numFmtId="0" fontId="39" fillId="0" borderId="26" xfId="0" applyFont="1" applyBorder="1" applyAlignment="1">
      <alignment horizontal="center" vertical="center" textRotation="90"/>
    </xf>
    <xf numFmtId="0" fontId="7" fillId="13" borderId="4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left"/>
    </xf>
    <xf numFmtId="0" fontId="7" fillId="14" borderId="2" xfId="0" applyFont="1" applyFill="1" applyBorder="1" applyAlignment="1">
      <alignment horizontal="left"/>
    </xf>
    <xf numFmtId="0" fontId="7" fillId="14" borderId="3" xfId="0" applyFont="1" applyFill="1" applyBorder="1" applyAlignment="1">
      <alignment horizontal="left"/>
    </xf>
    <xf numFmtId="164" fontId="7" fillId="15" borderId="1" xfId="1" applyFont="1" applyFill="1" applyBorder="1" applyAlignment="1">
      <alignment horizontal="left"/>
    </xf>
    <xf numFmtId="164" fontId="7" fillId="15" borderId="2" xfId="1" applyFont="1" applyFill="1" applyBorder="1" applyAlignment="1">
      <alignment horizontal="left"/>
    </xf>
    <xf numFmtId="164" fontId="7" fillId="15" borderId="3" xfId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 wrapText="1"/>
    </xf>
    <xf numFmtId="2" fontId="32" fillId="2" borderId="3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81" fillId="6" borderId="6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9933"/>
      <color rgb="FF008000"/>
      <color rgb="FF993300"/>
      <color rgb="FFFFCCFF"/>
      <color rgb="FFFF33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107950</xdr:colOff>
      <xdr:row>33</xdr:row>
      <xdr:rowOff>107950</xdr:rowOff>
    </xdr:from>
    <xdr:to>
      <xdr:col>15</xdr:col>
      <xdr:colOff>1066800</xdr:colOff>
      <xdr:row>33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F8544E7C-3C26-45AE-AE63-595AAF52A945}"/>
            </a:ext>
          </a:extLst>
        </xdr:cNvPr>
        <xdr:cNvCxnSpPr>
          <a:cxnSpLocks noChangeShapeType="1"/>
        </xdr:cNvCxnSpPr>
      </xdr:nvCxnSpPr>
      <xdr:spPr bwMode="auto">
        <a:xfrm>
          <a:off x="18942050" y="53276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37</xdr:row>
      <xdr:rowOff>139700</xdr:rowOff>
    </xdr:from>
    <xdr:to>
      <xdr:col>16</xdr:col>
      <xdr:colOff>742950</xdr:colOff>
      <xdr:row>37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8C029420-67FC-43B6-AB97-17B2FEA8702B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75946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107950</xdr:rowOff>
    </xdr:from>
    <xdr:to>
      <xdr:col>15</xdr:col>
      <xdr:colOff>1066800</xdr:colOff>
      <xdr:row>33</xdr:row>
      <xdr:rowOff>107950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EC9C125-A81A-41C2-99FE-4C22A015C646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27</xdr:row>
      <xdr:rowOff>146050</xdr:rowOff>
    </xdr:from>
    <xdr:to>
      <xdr:col>11</xdr:col>
      <xdr:colOff>152400</xdr:colOff>
      <xdr:row>37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26C7D12F-50D6-4CDC-AD00-3B6922D62138}"/>
            </a:ext>
          </a:extLst>
        </xdr:cNvPr>
        <xdr:cNvCxnSpPr>
          <a:cxnSpLocks noChangeShapeType="1"/>
        </xdr:cNvCxnSpPr>
      </xdr:nvCxnSpPr>
      <xdr:spPr bwMode="auto">
        <a:xfrm>
          <a:off x="6032500" y="3359150"/>
          <a:ext cx="6902450" cy="42164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107950</xdr:rowOff>
    </xdr:from>
    <xdr:to>
      <xdr:col>15</xdr:col>
      <xdr:colOff>1066800</xdr:colOff>
      <xdr:row>33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B2881869-BC06-4ECF-B6DA-350FE0DB4480}"/>
            </a:ext>
          </a:extLst>
        </xdr:cNvPr>
        <xdr:cNvCxnSpPr>
          <a:cxnSpLocks noChangeShapeType="1"/>
        </xdr:cNvCxnSpPr>
      </xdr:nvCxnSpPr>
      <xdr:spPr bwMode="auto">
        <a:xfrm>
          <a:off x="18942050" y="53276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37</xdr:row>
      <xdr:rowOff>139700</xdr:rowOff>
    </xdr:from>
    <xdr:to>
      <xdr:col>16</xdr:col>
      <xdr:colOff>742950</xdr:colOff>
      <xdr:row>37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38EF3FBC-3AD8-4CE5-AF7A-90246E48D519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75946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107950</xdr:rowOff>
    </xdr:from>
    <xdr:to>
      <xdr:col>15</xdr:col>
      <xdr:colOff>1066800</xdr:colOff>
      <xdr:row>33</xdr:row>
      <xdr:rowOff>107950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9066B07-DF05-4D69-BD8D-DC4C32938EBA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26</xdr:row>
      <xdr:rowOff>146050</xdr:rowOff>
    </xdr:from>
    <xdr:to>
      <xdr:col>11</xdr:col>
      <xdr:colOff>152400</xdr:colOff>
      <xdr:row>35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CBB0409F-5BB8-4361-B103-59D8AE30CE2C}"/>
            </a:ext>
          </a:extLst>
        </xdr:cNvPr>
        <xdr:cNvCxnSpPr>
          <a:cxnSpLocks noChangeShapeType="1"/>
        </xdr:cNvCxnSpPr>
      </xdr:nvCxnSpPr>
      <xdr:spPr bwMode="auto">
        <a:xfrm>
          <a:off x="6032500" y="3194050"/>
          <a:ext cx="6902450" cy="36576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B2FDA65C-4378-4FE0-B948-9274C34E57D5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35</xdr:row>
      <xdr:rowOff>139700</xdr:rowOff>
    </xdr:from>
    <xdr:to>
      <xdr:col>16</xdr:col>
      <xdr:colOff>742950</xdr:colOff>
      <xdr:row>35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89580C87-474C-4A8C-B132-80C289BC13FC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68707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5E109B82-6801-4191-A8DC-A06D39D26C38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25</xdr:row>
      <xdr:rowOff>146050</xdr:rowOff>
    </xdr:from>
    <xdr:to>
      <xdr:col>11</xdr:col>
      <xdr:colOff>152400</xdr:colOff>
      <xdr:row>33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526D6861-4880-4AAD-B40D-54367AAB9E85}"/>
            </a:ext>
          </a:extLst>
        </xdr:cNvPr>
        <xdr:cNvCxnSpPr>
          <a:cxnSpLocks noChangeShapeType="1"/>
        </xdr:cNvCxnSpPr>
      </xdr:nvCxnSpPr>
      <xdr:spPr bwMode="auto">
        <a:xfrm>
          <a:off x="6032500" y="3194050"/>
          <a:ext cx="6902450" cy="36576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31</xdr:row>
      <xdr:rowOff>107950</xdr:rowOff>
    </xdr:from>
    <xdr:to>
      <xdr:col>15</xdr:col>
      <xdr:colOff>1066800</xdr:colOff>
      <xdr:row>31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EFEFE10E-1621-4EF8-9E0B-9A74430AFC55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139700</xdr:rowOff>
    </xdr:from>
    <xdr:to>
      <xdr:col>16</xdr:col>
      <xdr:colOff>742950</xdr:colOff>
      <xdr:row>33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E356989D-E74F-4F03-8DC0-A04B94B2ED18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68707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31</xdr:row>
      <xdr:rowOff>107950</xdr:rowOff>
    </xdr:from>
    <xdr:to>
      <xdr:col>15</xdr:col>
      <xdr:colOff>1066800</xdr:colOff>
      <xdr:row>31</xdr:row>
      <xdr:rowOff>107950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9E77478-3B89-41DB-89C6-D556DA2E651C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26</xdr:row>
      <xdr:rowOff>146050</xdr:rowOff>
    </xdr:from>
    <xdr:to>
      <xdr:col>11</xdr:col>
      <xdr:colOff>152400</xdr:colOff>
      <xdr:row>35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EAC4BD4E-83AF-4511-A268-781D95BF09AC}"/>
            </a:ext>
          </a:extLst>
        </xdr:cNvPr>
        <xdr:cNvCxnSpPr>
          <a:cxnSpLocks noChangeShapeType="1"/>
        </xdr:cNvCxnSpPr>
      </xdr:nvCxnSpPr>
      <xdr:spPr bwMode="auto">
        <a:xfrm>
          <a:off x="6032500" y="3194050"/>
          <a:ext cx="6902450" cy="36576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91ED9B25-F451-4FF5-9EF8-44E41731617F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35</xdr:row>
      <xdr:rowOff>139700</xdr:rowOff>
    </xdr:from>
    <xdr:to>
      <xdr:col>16</xdr:col>
      <xdr:colOff>742950</xdr:colOff>
      <xdr:row>35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0F870883-9BE6-4E85-8C6A-26427B9791F9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68707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12A7B8F8-6CB7-4C31-B13B-7E1CDEF945F0}"/>
            </a:ext>
          </a:extLst>
        </xdr:cNvPr>
        <xdr:cNvCxnSpPr>
          <a:cxnSpLocks noChangeShapeType="1"/>
        </xdr:cNvCxnSpPr>
      </xdr:nvCxnSpPr>
      <xdr:spPr bwMode="auto">
        <a:xfrm>
          <a:off x="18942050" y="51625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26</xdr:row>
      <xdr:rowOff>146050</xdr:rowOff>
    </xdr:from>
    <xdr:to>
      <xdr:col>11</xdr:col>
      <xdr:colOff>152400</xdr:colOff>
      <xdr:row>35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239F8BB-714A-46F7-BE2D-900F96170913}"/>
            </a:ext>
          </a:extLst>
        </xdr:cNvPr>
        <xdr:cNvCxnSpPr>
          <a:cxnSpLocks noChangeShapeType="1"/>
        </xdr:cNvCxnSpPr>
      </xdr:nvCxnSpPr>
      <xdr:spPr bwMode="auto">
        <a:xfrm>
          <a:off x="6032500" y="3359150"/>
          <a:ext cx="6902450" cy="42164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6648F5C-44BB-44DD-B14B-ABFA2D54278A}"/>
            </a:ext>
          </a:extLst>
        </xdr:cNvPr>
        <xdr:cNvCxnSpPr>
          <a:cxnSpLocks noChangeShapeType="1"/>
        </xdr:cNvCxnSpPr>
      </xdr:nvCxnSpPr>
      <xdr:spPr bwMode="auto">
        <a:xfrm>
          <a:off x="18942050" y="53276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35</xdr:row>
      <xdr:rowOff>139700</xdr:rowOff>
    </xdr:from>
    <xdr:to>
      <xdr:col>16</xdr:col>
      <xdr:colOff>742950</xdr:colOff>
      <xdr:row>35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26E5EB76-359D-4875-93F6-1242458CF288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75946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25</xdr:row>
      <xdr:rowOff>146050</xdr:rowOff>
    </xdr:from>
    <xdr:to>
      <xdr:col>11</xdr:col>
      <xdr:colOff>152400</xdr:colOff>
      <xdr:row>33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D457BF58-2484-4239-936E-ADC9ED6868D4}"/>
            </a:ext>
          </a:extLst>
        </xdr:cNvPr>
        <xdr:cNvCxnSpPr>
          <a:cxnSpLocks noChangeShapeType="1"/>
        </xdr:cNvCxnSpPr>
      </xdr:nvCxnSpPr>
      <xdr:spPr bwMode="auto">
        <a:xfrm>
          <a:off x="6032500" y="3359150"/>
          <a:ext cx="6902450" cy="42164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31</xdr:row>
      <xdr:rowOff>107950</xdr:rowOff>
    </xdr:from>
    <xdr:to>
      <xdr:col>15</xdr:col>
      <xdr:colOff>1066800</xdr:colOff>
      <xdr:row>31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E9EEB60C-A3CD-4547-8BD8-9103380C36E9}"/>
            </a:ext>
          </a:extLst>
        </xdr:cNvPr>
        <xdr:cNvCxnSpPr>
          <a:cxnSpLocks noChangeShapeType="1"/>
        </xdr:cNvCxnSpPr>
      </xdr:nvCxnSpPr>
      <xdr:spPr bwMode="auto">
        <a:xfrm>
          <a:off x="18942050" y="53276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139700</xdr:rowOff>
    </xdr:from>
    <xdr:to>
      <xdr:col>16</xdr:col>
      <xdr:colOff>742950</xdr:colOff>
      <xdr:row>33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57309414-DCAE-4362-B02D-4036ECA537FA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75946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31</xdr:row>
      <xdr:rowOff>107950</xdr:rowOff>
    </xdr:from>
    <xdr:to>
      <xdr:col>15</xdr:col>
      <xdr:colOff>1066800</xdr:colOff>
      <xdr:row>31</xdr:row>
      <xdr:rowOff>107950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BCE10192-4ABA-45F1-9E93-26F4EF9CB3B6}"/>
            </a:ext>
          </a:extLst>
        </xdr:cNvPr>
        <xdr:cNvCxnSpPr>
          <a:cxnSpLocks noChangeShapeType="1"/>
        </xdr:cNvCxnSpPr>
      </xdr:nvCxnSpPr>
      <xdr:spPr bwMode="auto">
        <a:xfrm>
          <a:off x="18942050" y="53276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018-CC93-4C83-A470-090614113169}">
  <dimension ref="A1:IV432"/>
  <sheetViews>
    <sheetView tabSelected="1" zoomScale="70" zoomScaleNormal="70" workbookViewId="0"/>
  </sheetViews>
  <sheetFormatPr baseColWidth="10" defaultColWidth="11.453125" defaultRowHeight="13"/>
  <cols>
    <col min="1" max="1" width="4.54296875" style="1" customWidth="1"/>
    <col min="2" max="2" width="26.26953125" style="1" customWidth="1"/>
    <col min="3" max="3" width="8.26953125" style="1" customWidth="1"/>
    <col min="4" max="4" width="10.26953125" style="1" customWidth="1"/>
    <col min="5" max="5" width="11.1796875" style="1" customWidth="1"/>
    <col min="6" max="6" width="8.453125" style="1" customWidth="1"/>
    <col min="7" max="7" width="10.1796875" style="1" customWidth="1"/>
    <col min="8" max="8" width="10.54296875" style="1" customWidth="1"/>
    <col min="9" max="9" width="1.453125" style="1" customWidth="1"/>
    <col min="10" max="10" width="1.7265625" style="1" customWidth="1"/>
    <col min="11" max="11" width="9.54296875" style="1" hidden="1" customWidth="1"/>
    <col min="12" max="12" width="10" style="1" hidden="1" customWidth="1"/>
    <col min="13" max="13" width="10.7265625" style="1" hidden="1" customWidth="1"/>
    <col min="14" max="14" width="8.54296875" style="1" hidden="1" customWidth="1"/>
    <col min="15" max="15" width="8.1796875" style="1" hidden="1" customWidth="1"/>
    <col min="16" max="16" width="11.453125" style="1" hidden="1" customWidth="1"/>
    <col min="17" max="17" width="10.1796875" style="1" customWidth="1"/>
    <col min="18" max="18" width="6.54296875" style="1" hidden="1" customWidth="1"/>
    <col min="19" max="19" width="7.1796875" style="1" hidden="1" customWidth="1"/>
    <col min="20" max="21" width="7.7265625" style="1" hidden="1" customWidth="1"/>
    <col min="22" max="22" width="9.1796875" style="1" customWidth="1"/>
    <col min="23" max="23" width="11.90625" style="1" customWidth="1"/>
    <col min="24" max="24" width="1.453125" style="1" customWidth="1"/>
    <col min="25" max="25" width="1.7265625" style="1" customWidth="1"/>
    <col min="26" max="26" width="18.26953125" style="1" hidden="1" customWidth="1"/>
    <col min="27" max="27" width="21.81640625" style="1" hidden="1" customWidth="1"/>
    <col min="28" max="28" width="9.453125" style="1" hidden="1" customWidth="1"/>
    <col min="29" max="29" width="11.7265625" style="1" hidden="1" customWidth="1"/>
    <col min="30" max="30" width="8.81640625" style="1" hidden="1" customWidth="1"/>
    <col min="31" max="31" width="10.54296875" style="1" hidden="1" customWidth="1"/>
    <col min="32" max="32" width="14.7265625" style="113" hidden="1" customWidth="1"/>
    <col min="33" max="34" width="11.7265625" style="1" hidden="1" customWidth="1"/>
    <col min="35" max="35" width="13.81640625" style="1" hidden="1" customWidth="1"/>
    <col min="36" max="36" width="11.1796875" style="1" hidden="1" customWidth="1"/>
    <col min="37" max="37" width="11.1796875" style="1" customWidth="1"/>
    <col min="38" max="38" width="16.7265625" style="1" hidden="1" customWidth="1"/>
    <col min="39" max="39" width="11.453125" style="1" hidden="1" customWidth="1"/>
    <col min="40" max="40" width="13" style="1" customWidth="1"/>
    <col min="41" max="42" width="11.453125" style="1" hidden="1" customWidth="1"/>
    <col min="43" max="43" width="9.1796875" style="1" hidden="1" customWidth="1"/>
    <col min="44" max="44" width="11.453125" style="1"/>
    <col min="45" max="45" width="12.453125" style="1" customWidth="1"/>
    <col min="46" max="47" width="10.7265625" style="1" customWidth="1"/>
    <col min="48" max="48" width="1.81640625" style="1" customWidth="1"/>
    <col min="49" max="49" width="2" style="1" customWidth="1"/>
    <col min="50" max="53" width="11.453125" style="1" hidden="1" customWidth="1"/>
    <col min="54" max="54" width="4.54296875" style="1" hidden="1" customWidth="1"/>
    <col min="55" max="57" width="11.453125" style="1" hidden="1" customWidth="1"/>
    <col min="58" max="58" width="12.54296875" style="1" hidden="1" customWidth="1"/>
    <col min="59" max="64" width="11.453125" style="1" hidden="1" customWidth="1"/>
    <col min="65" max="65" width="21" style="1" hidden="1" customWidth="1"/>
    <col min="66" max="66" width="19.81640625" style="1" hidden="1" customWidth="1"/>
    <col min="67" max="67" width="18.453125" style="1" hidden="1" customWidth="1"/>
    <col min="68" max="68" width="20.1796875" style="1" hidden="1" customWidth="1"/>
    <col min="69" max="69" width="20.54296875" style="1" hidden="1" customWidth="1"/>
    <col min="70" max="70" width="7.1796875" style="1" hidden="1" customWidth="1"/>
    <col min="71" max="71" width="20" style="1" hidden="1" customWidth="1"/>
    <col min="72" max="72" width="19.26953125" style="1" hidden="1" customWidth="1"/>
    <col min="73" max="73" width="13" style="1" customWidth="1"/>
    <col min="74" max="75" width="12.26953125" style="1" customWidth="1"/>
    <col min="76" max="256" width="11.453125" style="1"/>
    <col min="257" max="257" width="4.453125" style="1" customWidth="1"/>
    <col min="258" max="258" width="26.26953125" style="1" customWidth="1"/>
    <col min="259" max="259" width="8.26953125" style="1" customWidth="1"/>
    <col min="260" max="260" width="10.26953125" style="1" customWidth="1"/>
    <col min="261" max="261" width="11.1796875" style="1" customWidth="1"/>
    <col min="262" max="262" width="8.453125" style="1" customWidth="1"/>
    <col min="263" max="263" width="10.1796875" style="1" customWidth="1"/>
    <col min="264" max="264" width="10.54296875" style="1" customWidth="1"/>
    <col min="265" max="265" width="1.453125" style="1" customWidth="1"/>
    <col min="266" max="266" width="1.7265625" style="1" customWidth="1"/>
    <col min="267" max="272" width="0" style="1" hidden="1" customWidth="1"/>
    <col min="273" max="273" width="10.1796875" style="1" customWidth="1"/>
    <col min="274" max="277" width="0" style="1" hidden="1" customWidth="1"/>
    <col min="278" max="278" width="9.1796875" style="1" customWidth="1"/>
    <col min="279" max="279" width="11.90625" style="1" customWidth="1"/>
    <col min="280" max="280" width="1.453125" style="1" customWidth="1"/>
    <col min="281" max="281" width="1.7265625" style="1" customWidth="1"/>
    <col min="282" max="292" width="0" style="1" hidden="1" customWidth="1"/>
    <col min="293" max="293" width="11.1796875" style="1" customWidth="1"/>
    <col min="294" max="295" width="0" style="1" hidden="1" customWidth="1"/>
    <col min="296" max="296" width="13" style="1" customWidth="1"/>
    <col min="297" max="299" width="0" style="1" hidden="1" customWidth="1"/>
    <col min="300" max="300" width="11.453125" style="1"/>
    <col min="301" max="301" width="12.453125" style="1" customWidth="1"/>
    <col min="302" max="303" width="10.7265625" style="1" customWidth="1"/>
    <col min="304" max="304" width="1.81640625" style="1" customWidth="1"/>
    <col min="305" max="305" width="2" style="1" customWidth="1"/>
    <col min="306" max="328" width="0" style="1" hidden="1" customWidth="1"/>
    <col min="329" max="329" width="13" style="1" customWidth="1"/>
    <col min="330" max="331" width="12.26953125" style="1" customWidth="1"/>
    <col min="332" max="512" width="11.453125" style="1"/>
    <col min="513" max="513" width="4.453125" style="1" customWidth="1"/>
    <col min="514" max="514" width="26.26953125" style="1" customWidth="1"/>
    <col min="515" max="515" width="8.26953125" style="1" customWidth="1"/>
    <col min="516" max="516" width="10.26953125" style="1" customWidth="1"/>
    <col min="517" max="517" width="11.1796875" style="1" customWidth="1"/>
    <col min="518" max="518" width="8.453125" style="1" customWidth="1"/>
    <col min="519" max="519" width="10.1796875" style="1" customWidth="1"/>
    <col min="520" max="520" width="10.54296875" style="1" customWidth="1"/>
    <col min="521" max="521" width="1.453125" style="1" customWidth="1"/>
    <col min="522" max="522" width="1.7265625" style="1" customWidth="1"/>
    <col min="523" max="528" width="0" style="1" hidden="1" customWidth="1"/>
    <col min="529" max="529" width="10.1796875" style="1" customWidth="1"/>
    <col min="530" max="533" width="0" style="1" hidden="1" customWidth="1"/>
    <col min="534" max="534" width="9.1796875" style="1" customWidth="1"/>
    <col min="535" max="535" width="11.90625" style="1" customWidth="1"/>
    <col min="536" max="536" width="1.453125" style="1" customWidth="1"/>
    <col min="537" max="537" width="1.7265625" style="1" customWidth="1"/>
    <col min="538" max="548" width="0" style="1" hidden="1" customWidth="1"/>
    <col min="549" max="549" width="11.1796875" style="1" customWidth="1"/>
    <col min="550" max="551" width="0" style="1" hidden="1" customWidth="1"/>
    <col min="552" max="552" width="13" style="1" customWidth="1"/>
    <col min="553" max="555" width="0" style="1" hidden="1" customWidth="1"/>
    <col min="556" max="556" width="11.453125" style="1"/>
    <col min="557" max="557" width="12.453125" style="1" customWidth="1"/>
    <col min="558" max="559" width="10.7265625" style="1" customWidth="1"/>
    <col min="560" max="560" width="1.81640625" style="1" customWidth="1"/>
    <col min="561" max="561" width="2" style="1" customWidth="1"/>
    <col min="562" max="584" width="0" style="1" hidden="1" customWidth="1"/>
    <col min="585" max="585" width="13" style="1" customWidth="1"/>
    <col min="586" max="587" width="12.26953125" style="1" customWidth="1"/>
    <col min="588" max="768" width="11.453125" style="1"/>
    <col min="769" max="769" width="4.453125" style="1" customWidth="1"/>
    <col min="770" max="770" width="26.26953125" style="1" customWidth="1"/>
    <col min="771" max="771" width="8.26953125" style="1" customWidth="1"/>
    <col min="772" max="772" width="10.26953125" style="1" customWidth="1"/>
    <col min="773" max="773" width="11.1796875" style="1" customWidth="1"/>
    <col min="774" max="774" width="8.453125" style="1" customWidth="1"/>
    <col min="775" max="775" width="10.1796875" style="1" customWidth="1"/>
    <col min="776" max="776" width="10.54296875" style="1" customWidth="1"/>
    <col min="777" max="777" width="1.453125" style="1" customWidth="1"/>
    <col min="778" max="778" width="1.7265625" style="1" customWidth="1"/>
    <col min="779" max="784" width="0" style="1" hidden="1" customWidth="1"/>
    <col min="785" max="785" width="10.1796875" style="1" customWidth="1"/>
    <col min="786" max="789" width="0" style="1" hidden="1" customWidth="1"/>
    <col min="790" max="790" width="9.1796875" style="1" customWidth="1"/>
    <col min="791" max="791" width="11.90625" style="1" customWidth="1"/>
    <col min="792" max="792" width="1.453125" style="1" customWidth="1"/>
    <col min="793" max="793" width="1.7265625" style="1" customWidth="1"/>
    <col min="794" max="804" width="0" style="1" hidden="1" customWidth="1"/>
    <col min="805" max="805" width="11.1796875" style="1" customWidth="1"/>
    <col min="806" max="807" width="0" style="1" hidden="1" customWidth="1"/>
    <col min="808" max="808" width="13" style="1" customWidth="1"/>
    <col min="809" max="811" width="0" style="1" hidden="1" customWidth="1"/>
    <col min="812" max="812" width="11.453125" style="1"/>
    <col min="813" max="813" width="12.453125" style="1" customWidth="1"/>
    <col min="814" max="815" width="10.7265625" style="1" customWidth="1"/>
    <col min="816" max="816" width="1.81640625" style="1" customWidth="1"/>
    <col min="817" max="817" width="2" style="1" customWidth="1"/>
    <col min="818" max="840" width="0" style="1" hidden="1" customWidth="1"/>
    <col min="841" max="841" width="13" style="1" customWidth="1"/>
    <col min="842" max="843" width="12.26953125" style="1" customWidth="1"/>
    <col min="844" max="1024" width="11.453125" style="1"/>
    <col min="1025" max="1025" width="4.453125" style="1" customWidth="1"/>
    <col min="1026" max="1026" width="26.26953125" style="1" customWidth="1"/>
    <col min="1027" max="1027" width="8.26953125" style="1" customWidth="1"/>
    <col min="1028" max="1028" width="10.26953125" style="1" customWidth="1"/>
    <col min="1029" max="1029" width="11.1796875" style="1" customWidth="1"/>
    <col min="1030" max="1030" width="8.453125" style="1" customWidth="1"/>
    <col min="1031" max="1031" width="10.1796875" style="1" customWidth="1"/>
    <col min="1032" max="1032" width="10.54296875" style="1" customWidth="1"/>
    <col min="1033" max="1033" width="1.453125" style="1" customWidth="1"/>
    <col min="1034" max="1034" width="1.7265625" style="1" customWidth="1"/>
    <col min="1035" max="1040" width="0" style="1" hidden="1" customWidth="1"/>
    <col min="1041" max="1041" width="10.1796875" style="1" customWidth="1"/>
    <col min="1042" max="1045" width="0" style="1" hidden="1" customWidth="1"/>
    <col min="1046" max="1046" width="9.1796875" style="1" customWidth="1"/>
    <col min="1047" max="1047" width="11.90625" style="1" customWidth="1"/>
    <col min="1048" max="1048" width="1.453125" style="1" customWidth="1"/>
    <col min="1049" max="1049" width="1.7265625" style="1" customWidth="1"/>
    <col min="1050" max="1060" width="0" style="1" hidden="1" customWidth="1"/>
    <col min="1061" max="1061" width="11.1796875" style="1" customWidth="1"/>
    <col min="1062" max="1063" width="0" style="1" hidden="1" customWidth="1"/>
    <col min="1064" max="1064" width="13" style="1" customWidth="1"/>
    <col min="1065" max="1067" width="0" style="1" hidden="1" customWidth="1"/>
    <col min="1068" max="1068" width="11.453125" style="1"/>
    <col min="1069" max="1069" width="12.453125" style="1" customWidth="1"/>
    <col min="1070" max="1071" width="10.7265625" style="1" customWidth="1"/>
    <col min="1072" max="1072" width="1.81640625" style="1" customWidth="1"/>
    <col min="1073" max="1073" width="2" style="1" customWidth="1"/>
    <col min="1074" max="1096" width="0" style="1" hidden="1" customWidth="1"/>
    <col min="1097" max="1097" width="13" style="1" customWidth="1"/>
    <col min="1098" max="1099" width="12.26953125" style="1" customWidth="1"/>
    <col min="1100" max="1280" width="11.453125" style="1"/>
    <col min="1281" max="1281" width="4.453125" style="1" customWidth="1"/>
    <col min="1282" max="1282" width="26.26953125" style="1" customWidth="1"/>
    <col min="1283" max="1283" width="8.26953125" style="1" customWidth="1"/>
    <col min="1284" max="1284" width="10.26953125" style="1" customWidth="1"/>
    <col min="1285" max="1285" width="11.1796875" style="1" customWidth="1"/>
    <col min="1286" max="1286" width="8.453125" style="1" customWidth="1"/>
    <col min="1287" max="1287" width="10.1796875" style="1" customWidth="1"/>
    <col min="1288" max="1288" width="10.54296875" style="1" customWidth="1"/>
    <col min="1289" max="1289" width="1.453125" style="1" customWidth="1"/>
    <col min="1290" max="1290" width="1.7265625" style="1" customWidth="1"/>
    <col min="1291" max="1296" width="0" style="1" hidden="1" customWidth="1"/>
    <col min="1297" max="1297" width="10.1796875" style="1" customWidth="1"/>
    <col min="1298" max="1301" width="0" style="1" hidden="1" customWidth="1"/>
    <col min="1302" max="1302" width="9.1796875" style="1" customWidth="1"/>
    <col min="1303" max="1303" width="11.90625" style="1" customWidth="1"/>
    <col min="1304" max="1304" width="1.453125" style="1" customWidth="1"/>
    <col min="1305" max="1305" width="1.7265625" style="1" customWidth="1"/>
    <col min="1306" max="1316" width="0" style="1" hidden="1" customWidth="1"/>
    <col min="1317" max="1317" width="11.1796875" style="1" customWidth="1"/>
    <col min="1318" max="1319" width="0" style="1" hidden="1" customWidth="1"/>
    <col min="1320" max="1320" width="13" style="1" customWidth="1"/>
    <col min="1321" max="1323" width="0" style="1" hidden="1" customWidth="1"/>
    <col min="1324" max="1324" width="11.453125" style="1"/>
    <col min="1325" max="1325" width="12.453125" style="1" customWidth="1"/>
    <col min="1326" max="1327" width="10.7265625" style="1" customWidth="1"/>
    <col min="1328" max="1328" width="1.81640625" style="1" customWidth="1"/>
    <col min="1329" max="1329" width="2" style="1" customWidth="1"/>
    <col min="1330" max="1352" width="0" style="1" hidden="1" customWidth="1"/>
    <col min="1353" max="1353" width="13" style="1" customWidth="1"/>
    <col min="1354" max="1355" width="12.26953125" style="1" customWidth="1"/>
    <col min="1356" max="1536" width="11.453125" style="1"/>
    <col min="1537" max="1537" width="4.453125" style="1" customWidth="1"/>
    <col min="1538" max="1538" width="26.26953125" style="1" customWidth="1"/>
    <col min="1539" max="1539" width="8.26953125" style="1" customWidth="1"/>
    <col min="1540" max="1540" width="10.26953125" style="1" customWidth="1"/>
    <col min="1541" max="1541" width="11.1796875" style="1" customWidth="1"/>
    <col min="1542" max="1542" width="8.453125" style="1" customWidth="1"/>
    <col min="1543" max="1543" width="10.1796875" style="1" customWidth="1"/>
    <col min="1544" max="1544" width="10.54296875" style="1" customWidth="1"/>
    <col min="1545" max="1545" width="1.453125" style="1" customWidth="1"/>
    <col min="1546" max="1546" width="1.7265625" style="1" customWidth="1"/>
    <col min="1547" max="1552" width="0" style="1" hidden="1" customWidth="1"/>
    <col min="1553" max="1553" width="10.1796875" style="1" customWidth="1"/>
    <col min="1554" max="1557" width="0" style="1" hidden="1" customWidth="1"/>
    <col min="1558" max="1558" width="9.1796875" style="1" customWidth="1"/>
    <col min="1559" max="1559" width="11.90625" style="1" customWidth="1"/>
    <col min="1560" max="1560" width="1.453125" style="1" customWidth="1"/>
    <col min="1561" max="1561" width="1.7265625" style="1" customWidth="1"/>
    <col min="1562" max="1572" width="0" style="1" hidden="1" customWidth="1"/>
    <col min="1573" max="1573" width="11.1796875" style="1" customWidth="1"/>
    <col min="1574" max="1575" width="0" style="1" hidden="1" customWidth="1"/>
    <col min="1576" max="1576" width="13" style="1" customWidth="1"/>
    <col min="1577" max="1579" width="0" style="1" hidden="1" customWidth="1"/>
    <col min="1580" max="1580" width="11.453125" style="1"/>
    <col min="1581" max="1581" width="12.453125" style="1" customWidth="1"/>
    <col min="1582" max="1583" width="10.7265625" style="1" customWidth="1"/>
    <col min="1584" max="1584" width="1.81640625" style="1" customWidth="1"/>
    <col min="1585" max="1585" width="2" style="1" customWidth="1"/>
    <col min="1586" max="1608" width="0" style="1" hidden="1" customWidth="1"/>
    <col min="1609" max="1609" width="13" style="1" customWidth="1"/>
    <col min="1610" max="1611" width="12.26953125" style="1" customWidth="1"/>
    <col min="1612" max="1792" width="11.453125" style="1"/>
    <col min="1793" max="1793" width="4.453125" style="1" customWidth="1"/>
    <col min="1794" max="1794" width="26.26953125" style="1" customWidth="1"/>
    <col min="1795" max="1795" width="8.26953125" style="1" customWidth="1"/>
    <col min="1796" max="1796" width="10.26953125" style="1" customWidth="1"/>
    <col min="1797" max="1797" width="11.1796875" style="1" customWidth="1"/>
    <col min="1798" max="1798" width="8.453125" style="1" customWidth="1"/>
    <col min="1799" max="1799" width="10.1796875" style="1" customWidth="1"/>
    <col min="1800" max="1800" width="10.54296875" style="1" customWidth="1"/>
    <col min="1801" max="1801" width="1.453125" style="1" customWidth="1"/>
    <col min="1802" max="1802" width="1.7265625" style="1" customWidth="1"/>
    <col min="1803" max="1808" width="0" style="1" hidden="1" customWidth="1"/>
    <col min="1809" max="1809" width="10.1796875" style="1" customWidth="1"/>
    <col min="1810" max="1813" width="0" style="1" hidden="1" customWidth="1"/>
    <col min="1814" max="1814" width="9.1796875" style="1" customWidth="1"/>
    <col min="1815" max="1815" width="11.90625" style="1" customWidth="1"/>
    <col min="1816" max="1816" width="1.453125" style="1" customWidth="1"/>
    <col min="1817" max="1817" width="1.7265625" style="1" customWidth="1"/>
    <col min="1818" max="1828" width="0" style="1" hidden="1" customWidth="1"/>
    <col min="1829" max="1829" width="11.1796875" style="1" customWidth="1"/>
    <col min="1830" max="1831" width="0" style="1" hidden="1" customWidth="1"/>
    <col min="1832" max="1832" width="13" style="1" customWidth="1"/>
    <col min="1833" max="1835" width="0" style="1" hidden="1" customWidth="1"/>
    <col min="1836" max="1836" width="11.453125" style="1"/>
    <col min="1837" max="1837" width="12.453125" style="1" customWidth="1"/>
    <col min="1838" max="1839" width="10.7265625" style="1" customWidth="1"/>
    <col min="1840" max="1840" width="1.81640625" style="1" customWidth="1"/>
    <col min="1841" max="1841" width="2" style="1" customWidth="1"/>
    <col min="1842" max="1864" width="0" style="1" hidden="1" customWidth="1"/>
    <col min="1865" max="1865" width="13" style="1" customWidth="1"/>
    <col min="1866" max="1867" width="12.26953125" style="1" customWidth="1"/>
    <col min="1868" max="2048" width="11.453125" style="1"/>
    <col min="2049" max="2049" width="4.453125" style="1" customWidth="1"/>
    <col min="2050" max="2050" width="26.26953125" style="1" customWidth="1"/>
    <col min="2051" max="2051" width="8.26953125" style="1" customWidth="1"/>
    <col min="2052" max="2052" width="10.26953125" style="1" customWidth="1"/>
    <col min="2053" max="2053" width="11.1796875" style="1" customWidth="1"/>
    <col min="2054" max="2054" width="8.453125" style="1" customWidth="1"/>
    <col min="2055" max="2055" width="10.1796875" style="1" customWidth="1"/>
    <col min="2056" max="2056" width="10.54296875" style="1" customWidth="1"/>
    <col min="2057" max="2057" width="1.453125" style="1" customWidth="1"/>
    <col min="2058" max="2058" width="1.7265625" style="1" customWidth="1"/>
    <col min="2059" max="2064" width="0" style="1" hidden="1" customWidth="1"/>
    <col min="2065" max="2065" width="10.1796875" style="1" customWidth="1"/>
    <col min="2066" max="2069" width="0" style="1" hidden="1" customWidth="1"/>
    <col min="2070" max="2070" width="9.1796875" style="1" customWidth="1"/>
    <col min="2071" max="2071" width="11.90625" style="1" customWidth="1"/>
    <col min="2072" max="2072" width="1.453125" style="1" customWidth="1"/>
    <col min="2073" max="2073" width="1.7265625" style="1" customWidth="1"/>
    <col min="2074" max="2084" width="0" style="1" hidden="1" customWidth="1"/>
    <col min="2085" max="2085" width="11.1796875" style="1" customWidth="1"/>
    <col min="2086" max="2087" width="0" style="1" hidden="1" customWidth="1"/>
    <col min="2088" max="2088" width="13" style="1" customWidth="1"/>
    <col min="2089" max="2091" width="0" style="1" hidden="1" customWidth="1"/>
    <col min="2092" max="2092" width="11.453125" style="1"/>
    <col min="2093" max="2093" width="12.453125" style="1" customWidth="1"/>
    <col min="2094" max="2095" width="10.7265625" style="1" customWidth="1"/>
    <col min="2096" max="2096" width="1.81640625" style="1" customWidth="1"/>
    <col min="2097" max="2097" width="2" style="1" customWidth="1"/>
    <col min="2098" max="2120" width="0" style="1" hidden="1" customWidth="1"/>
    <col min="2121" max="2121" width="13" style="1" customWidth="1"/>
    <col min="2122" max="2123" width="12.26953125" style="1" customWidth="1"/>
    <col min="2124" max="2304" width="11.453125" style="1"/>
    <col min="2305" max="2305" width="4.453125" style="1" customWidth="1"/>
    <col min="2306" max="2306" width="26.26953125" style="1" customWidth="1"/>
    <col min="2307" max="2307" width="8.26953125" style="1" customWidth="1"/>
    <col min="2308" max="2308" width="10.26953125" style="1" customWidth="1"/>
    <col min="2309" max="2309" width="11.1796875" style="1" customWidth="1"/>
    <col min="2310" max="2310" width="8.453125" style="1" customWidth="1"/>
    <col min="2311" max="2311" width="10.1796875" style="1" customWidth="1"/>
    <col min="2312" max="2312" width="10.54296875" style="1" customWidth="1"/>
    <col min="2313" max="2313" width="1.453125" style="1" customWidth="1"/>
    <col min="2314" max="2314" width="1.7265625" style="1" customWidth="1"/>
    <col min="2315" max="2320" width="0" style="1" hidden="1" customWidth="1"/>
    <col min="2321" max="2321" width="10.1796875" style="1" customWidth="1"/>
    <col min="2322" max="2325" width="0" style="1" hidden="1" customWidth="1"/>
    <col min="2326" max="2326" width="9.1796875" style="1" customWidth="1"/>
    <col min="2327" max="2327" width="11.90625" style="1" customWidth="1"/>
    <col min="2328" max="2328" width="1.453125" style="1" customWidth="1"/>
    <col min="2329" max="2329" width="1.7265625" style="1" customWidth="1"/>
    <col min="2330" max="2340" width="0" style="1" hidden="1" customWidth="1"/>
    <col min="2341" max="2341" width="11.1796875" style="1" customWidth="1"/>
    <col min="2342" max="2343" width="0" style="1" hidden="1" customWidth="1"/>
    <col min="2344" max="2344" width="13" style="1" customWidth="1"/>
    <col min="2345" max="2347" width="0" style="1" hidden="1" customWidth="1"/>
    <col min="2348" max="2348" width="11.453125" style="1"/>
    <col min="2349" max="2349" width="12.453125" style="1" customWidth="1"/>
    <col min="2350" max="2351" width="10.7265625" style="1" customWidth="1"/>
    <col min="2352" max="2352" width="1.81640625" style="1" customWidth="1"/>
    <col min="2353" max="2353" width="2" style="1" customWidth="1"/>
    <col min="2354" max="2376" width="0" style="1" hidden="1" customWidth="1"/>
    <col min="2377" max="2377" width="13" style="1" customWidth="1"/>
    <col min="2378" max="2379" width="12.26953125" style="1" customWidth="1"/>
    <col min="2380" max="2560" width="11.453125" style="1"/>
    <col min="2561" max="2561" width="4.453125" style="1" customWidth="1"/>
    <col min="2562" max="2562" width="26.26953125" style="1" customWidth="1"/>
    <col min="2563" max="2563" width="8.26953125" style="1" customWidth="1"/>
    <col min="2564" max="2564" width="10.26953125" style="1" customWidth="1"/>
    <col min="2565" max="2565" width="11.1796875" style="1" customWidth="1"/>
    <col min="2566" max="2566" width="8.453125" style="1" customWidth="1"/>
    <col min="2567" max="2567" width="10.1796875" style="1" customWidth="1"/>
    <col min="2568" max="2568" width="10.54296875" style="1" customWidth="1"/>
    <col min="2569" max="2569" width="1.453125" style="1" customWidth="1"/>
    <col min="2570" max="2570" width="1.7265625" style="1" customWidth="1"/>
    <col min="2571" max="2576" width="0" style="1" hidden="1" customWidth="1"/>
    <col min="2577" max="2577" width="10.1796875" style="1" customWidth="1"/>
    <col min="2578" max="2581" width="0" style="1" hidden="1" customWidth="1"/>
    <col min="2582" max="2582" width="9.1796875" style="1" customWidth="1"/>
    <col min="2583" max="2583" width="11.90625" style="1" customWidth="1"/>
    <col min="2584" max="2584" width="1.453125" style="1" customWidth="1"/>
    <col min="2585" max="2585" width="1.7265625" style="1" customWidth="1"/>
    <col min="2586" max="2596" width="0" style="1" hidden="1" customWidth="1"/>
    <col min="2597" max="2597" width="11.1796875" style="1" customWidth="1"/>
    <col min="2598" max="2599" width="0" style="1" hidden="1" customWidth="1"/>
    <col min="2600" max="2600" width="13" style="1" customWidth="1"/>
    <col min="2601" max="2603" width="0" style="1" hidden="1" customWidth="1"/>
    <col min="2604" max="2604" width="11.453125" style="1"/>
    <col min="2605" max="2605" width="12.453125" style="1" customWidth="1"/>
    <col min="2606" max="2607" width="10.7265625" style="1" customWidth="1"/>
    <col min="2608" max="2608" width="1.81640625" style="1" customWidth="1"/>
    <col min="2609" max="2609" width="2" style="1" customWidth="1"/>
    <col min="2610" max="2632" width="0" style="1" hidden="1" customWidth="1"/>
    <col min="2633" max="2633" width="13" style="1" customWidth="1"/>
    <col min="2634" max="2635" width="12.26953125" style="1" customWidth="1"/>
    <col min="2636" max="2816" width="11.453125" style="1"/>
    <col min="2817" max="2817" width="4.453125" style="1" customWidth="1"/>
    <col min="2818" max="2818" width="26.26953125" style="1" customWidth="1"/>
    <col min="2819" max="2819" width="8.26953125" style="1" customWidth="1"/>
    <col min="2820" max="2820" width="10.26953125" style="1" customWidth="1"/>
    <col min="2821" max="2821" width="11.1796875" style="1" customWidth="1"/>
    <col min="2822" max="2822" width="8.453125" style="1" customWidth="1"/>
    <col min="2823" max="2823" width="10.1796875" style="1" customWidth="1"/>
    <col min="2824" max="2824" width="10.54296875" style="1" customWidth="1"/>
    <col min="2825" max="2825" width="1.453125" style="1" customWidth="1"/>
    <col min="2826" max="2826" width="1.7265625" style="1" customWidth="1"/>
    <col min="2827" max="2832" width="0" style="1" hidden="1" customWidth="1"/>
    <col min="2833" max="2833" width="10.1796875" style="1" customWidth="1"/>
    <col min="2834" max="2837" width="0" style="1" hidden="1" customWidth="1"/>
    <col min="2838" max="2838" width="9.1796875" style="1" customWidth="1"/>
    <col min="2839" max="2839" width="11.90625" style="1" customWidth="1"/>
    <col min="2840" max="2840" width="1.453125" style="1" customWidth="1"/>
    <col min="2841" max="2841" width="1.7265625" style="1" customWidth="1"/>
    <col min="2842" max="2852" width="0" style="1" hidden="1" customWidth="1"/>
    <col min="2853" max="2853" width="11.1796875" style="1" customWidth="1"/>
    <col min="2854" max="2855" width="0" style="1" hidden="1" customWidth="1"/>
    <col min="2856" max="2856" width="13" style="1" customWidth="1"/>
    <col min="2857" max="2859" width="0" style="1" hidden="1" customWidth="1"/>
    <col min="2860" max="2860" width="11.453125" style="1"/>
    <col min="2861" max="2861" width="12.453125" style="1" customWidth="1"/>
    <col min="2862" max="2863" width="10.7265625" style="1" customWidth="1"/>
    <col min="2864" max="2864" width="1.81640625" style="1" customWidth="1"/>
    <col min="2865" max="2865" width="2" style="1" customWidth="1"/>
    <col min="2866" max="2888" width="0" style="1" hidden="1" customWidth="1"/>
    <col min="2889" max="2889" width="13" style="1" customWidth="1"/>
    <col min="2890" max="2891" width="12.26953125" style="1" customWidth="1"/>
    <col min="2892" max="3072" width="11.453125" style="1"/>
    <col min="3073" max="3073" width="4.453125" style="1" customWidth="1"/>
    <col min="3074" max="3074" width="26.26953125" style="1" customWidth="1"/>
    <col min="3075" max="3075" width="8.26953125" style="1" customWidth="1"/>
    <col min="3076" max="3076" width="10.26953125" style="1" customWidth="1"/>
    <col min="3077" max="3077" width="11.1796875" style="1" customWidth="1"/>
    <col min="3078" max="3078" width="8.453125" style="1" customWidth="1"/>
    <col min="3079" max="3079" width="10.1796875" style="1" customWidth="1"/>
    <col min="3080" max="3080" width="10.54296875" style="1" customWidth="1"/>
    <col min="3081" max="3081" width="1.453125" style="1" customWidth="1"/>
    <col min="3082" max="3082" width="1.7265625" style="1" customWidth="1"/>
    <col min="3083" max="3088" width="0" style="1" hidden="1" customWidth="1"/>
    <col min="3089" max="3089" width="10.1796875" style="1" customWidth="1"/>
    <col min="3090" max="3093" width="0" style="1" hidden="1" customWidth="1"/>
    <col min="3094" max="3094" width="9.1796875" style="1" customWidth="1"/>
    <col min="3095" max="3095" width="11.90625" style="1" customWidth="1"/>
    <col min="3096" max="3096" width="1.453125" style="1" customWidth="1"/>
    <col min="3097" max="3097" width="1.7265625" style="1" customWidth="1"/>
    <col min="3098" max="3108" width="0" style="1" hidden="1" customWidth="1"/>
    <col min="3109" max="3109" width="11.1796875" style="1" customWidth="1"/>
    <col min="3110" max="3111" width="0" style="1" hidden="1" customWidth="1"/>
    <col min="3112" max="3112" width="13" style="1" customWidth="1"/>
    <col min="3113" max="3115" width="0" style="1" hidden="1" customWidth="1"/>
    <col min="3116" max="3116" width="11.453125" style="1"/>
    <col min="3117" max="3117" width="12.453125" style="1" customWidth="1"/>
    <col min="3118" max="3119" width="10.7265625" style="1" customWidth="1"/>
    <col min="3120" max="3120" width="1.81640625" style="1" customWidth="1"/>
    <col min="3121" max="3121" width="2" style="1" customWidth="1"/>
    <col min="3122" max="3144" width="0" style="1" hidden="1" customWidth="1"/>
    <col min="3145" max="3145" width="13" style="1" customWidth="1"/>
    <col min="3146" max="3147" width="12.26953125" style="1" customWidth="1"/>
    <col min="3148" max="3328" width="11.453125" style="1"/>
    <col min="3329" max="3329" width="4.453125" style="1" customWidth="1"/>
    <col min="3330" max="3330" width="26.26953125" style="1" customWidth="1"/>
    <col min="3331" max="3331" width="8.26953125" style="1" customWidth="1"/>
    <col min="3332" max="3332" width="10.26953125" style="1" customWidth="1"/>
    <col min="3333" max="3333" width="11.1796875" style="1" customWidth="1"/>
    <col min="3334" max="3334" width="8.453125" style="1" customWidth="1"/>
    <col min="3335" max="3335" width="10.1796875" style="1" customWidth="1"/>
    <col min="3336" max="3336" width="10.54296875" style="1" customWidth="1"/>
    <col min="3337" max="3337" width="1.453125" style="1" customWidth="1"/>
    <col min="3338" max="3338" width="1.7265625" style="1" customWidth="1"/>
    <col min="3339" max="3344" width="0" style="1" hidden="1" customWidth="1"/>
    <col min="3345" max="3345" width="10.1796875" style="1" customWidth="1"/>
    <col min="3346" max="3349" width="0" style="1" hidden="1" customWidth="1"/>
    <col min="3350" max="3350" width="9.1796875" style="1" customWidth="1"/>
    <col min="3351" max="3351" width="11.90625" style="1" customWidth="1"/>
    <col min="3352" max="3352" width="1.453125" style="1" customWidth="1"/>
    <col min="3353" max="3353" width="1.7265625" style="1" customWidth="1"/>
    <col min="3354" max="3364" width="0" style="1" hidden="1" customWidth="1"/>
    <col min="3365" max="3365" width="11.1796875" style="1" customWidth="1"/>
    <col min="3366" max="3367" width="0" style="1" hidden="1" customWidth="1"/>
    <col min="3368" max="3368" width="13" style="1" customWidth="1"/>
    <col min="3369" max="3371" width="0" style="1" hidden="1" customWidth="1"/>
    <col min="3372" max="3372" width="11.453125" style="1"/>
    <col min="3373" max="3373" width="12.453125" style="1" customWidth="1"/>
    <col min="3374" max="3375" width="10.7265625" style="1" customWidth="1"/>
    <col min="3376" max="3376" width="1.81640625" style="1" customWidth="1"/>
    <col min="3377" max="3377" width="2" style="1" customWidth="1"/>
    <col min="3378" max="3400" width="0" style="1" hidden="1" customWidth="1"/>
    <col min="3401" max="3401" width="13" style="1" customWidth="1"/>
    <col min="3402" max="3403" width="12.26953125" style="1" customWidth="1"/>
    <col min="3404" max="3584" width="11.453125" style="1"/>
    <col min="3585" max="3585" width="4.453125" style="1" customWidth="1"/>
    <col min="3586" max="3586" width="26.26953125" style="1" customWidth="1"/>
    <col min="3587" max="3587" width="8.26953125" style="1" customWidth="1"/>
    <col min="3588" max="3588" width="10.26953125" style="1" customWidth="1"/>
    <col min="3589" max="3589" width="11.1796875" style="1" customWidth="1"/>
    <col min="3590" max="3590" width="8.453125" style="1" customWidth="1"/>
    <col min="3591" max="3591" width="10.1796875" style="1" customWidth="1"/>
    <col min="3592" max="3592" width="10.54296875" style="1" customWidth="1"/>
    <col min="3593" max="3593" width="1.453125" style="1" customWidth="1"/>
    <col min="3594" max="3594" width="1.7265625" style="1" customWidth="1"/>
    <col min="3595" max="3600" width="0" style="1" hidden="1" customWidth="1"/>
    <col min="3601" max="3601" width="10.1796875" style="1" customWidth="1"/>
    <col min="3602" max="3605" width="0" style="1" hidden="1" customWidth="1"/>
    <col min="3606" max="3606" width="9.1796875" style="1" customWidth="1"/>
    <col min="3607" max="3607" width="11.90625" style="1" customWidth="1"/>
    <col min="3608" max="3608" width="1.453125" style="1" customWidth="1"/>
    <col min="3609" max="3609" width="1.7265625" style="1" customWidth="1"/>
    <col min="3610" max="3620" width="0" style="1" hidden="1" customWidth="1"/>
    <col min="3621" max="3621" width="11.1796875" style="1" customWidth="1"/>
    <col min="3622" max="3623" width="0" style="1" hidden="1" customWidth="1"/>
    <col min="3624" max="3624" width="13" style="1" customWidth="1"/>
    <col min="3625" max="3627" width="0" style="1" hidden="1" customWidth="1"/>
    <col min="3628" max="3628" width="11.453125" style="1"/>
    <col min="3629" max="3629" width="12.453125" style="1" customWidth="1"/>
    <col min="3630" max="3631" width="10.7265625" style="1" customWidth="1"/>
    <col min="3632" max="3632" width="1.81640625" style="1" customWidth="1"/>
    <col min="3633" max="3633" width="2" style="1" customWidth="1"/>
    <col min="3634" max="3656" width="0" style="1" hidden="1" customWidth="1"/>
    <col min="3657" max="3657" width="13" style="1" customWidth="1"/>
    <col min="3658" max="3659" width="12.26953125" style="1" customWidth="1"/>
    <col min="3660" max="3840" width="11.453125" style="1"/>
    <col min="3841" max="3841" width="4.453125" style="1" customWidth="1"/>
    <col min="3842" max="3842" width="26.26953125" style="1" customWidth="1"/>
    <col min="3843" max="3843" width="8.26953125" style="1" customWidth="1"/>
    <col min="3844" max="3844" width="10.26953125" style="1" customWidth="1"/>
    <col min="3845" max="3845" width="11.1796875" style="1" customWidth="1"/>
    <col min="3846" max="3846" width="8.453125" style="1" customWidth="1"/>
    <col min="3847" max="3847" width="10.1796875" style="1" customWidth="1"/>
    <col min="3848" max="3848" width="10.54296875" style="1" customWidth="1"/>
    <col min="3849" max="3849" width="1.453125" style="1" customWidth="1"/>
    <col min="3850" max="3850" width="1.7265625" style="1" customWidth="1"/>
    <col min="3851" max="3856" width="0" style="1" hidden="1" customWidth="1"/>
    <col min="3857" max="3857" width="10.1796875" style="1" customWidth="1"/>
    <col min="3858" max="3861" width="0" style="1" hidden="1" customWidth="1"/>
    <col min="3862" max="3862" width="9.1796875" style="1" customWidth="1"/>
    <col min="3863" max="3863" width="11.90625" style="1" customWidth="1"/>
    <col min="3864" max="3864" width="1.453125" style="1" customWidth="1"/>
    <col min="3865" max="3865" width="1.7265625" style="1" customWidth="1"/>
    <col min="3866" max="3876" width="0" style="1" hidden="1" customWidth="1"/>
    <col min="3877" max="3877" width="11.1796875" style="1" customWidth="1"/>
    <col min="3878" max="3879" width="0" style="1" hidden="1" customWidth="1"/>
    <col min="3880" max="3880" width="13" style="1" customWidth="1"/>
    <col min="3881" max="3883" width="0" style="1" hidden="1" customWidth="1"/>
    <col min="3884" max="3884" width="11.453125" style="1"/>
    <col min="3885" max="3885" width="12.453125" style="1" customWidth="1"/>
    <col min="3886" max="3887" width="10.7265625" style="1" customWidth="1"/>
    <col min="3888" max="3888" width="1.81640625" style="1" customWidth="1"/>
    <col min="3889" max="3889" width="2" style="1" customWidth="1"/>
    <col min="3890" max="3912" width="0" style="1" hidden="1" customWidth="1"/>
    <col min="3913" max="3913" width="13" style="1" customWidth="1"/>
    <col min="3914" max="3915" width="12.26953125" style="1" customWidth="1"/>
    <col min="3916" max="4096" width="11.453125" style="1"/>
    <col min="4097" max="4097" width="4.453125" style="1" customWidth="1"/>
    <col min="4098" max="4098" width="26.26953125" style="1" customWidth="1"/>
    <col min="4099" max="4099" width="8.26953125" style="1" customWidth="1"/>
    <col min="4100" max="4100" width="10.26953125" style="1" customWidth="1"/>
    <col min="4101" max="4101" width="11.1796875" style="1" customWidth="1"/>
    <col min="4102" max="4102" width="8.453125" style="1" customWidth="1"/>
    <col min="4103" max="4103" width="10.1796875" style="1" customWidth="1"/>
    <col min="4104" max="4104" width="10.54296875" style="1" customWidth="1"/>
    <col min="4105" max="4105" width="1.453125" style="1" customWidth="1"/>
    <col min="4106" max="4106" width="1.7265625" style="1" customWidth="1"/>
    <col min="4107" max="4112" width="0" style="1" hidden="1" customWidth="1"/>
    <col min="4113" max="4113" width="10.1796875" style="1" customWidth="1"/>
    <col min="4114" max="4117" width="0" style="1" hidden="1" customWidth="1"/>
    <col min="4118" max="4118" width="9.1796875" style="1" customWidth="1"/>
    <col min="4119" max="4119" width="11.90625" style="1" customWidth="1"/>
    <col min="4120" max="4120" width="1.453125" style="1" customWidth="1"/>
    <col min="4121" max="4121" width="1.7265625" style="1" customWidth="1"/>
    <col min="4122" max="4132" width="0" style="1" hidden="1" customWidth="1"/>
    <col min="4133" max="4133" width="11.1796875" style="1" customWidth="1"/>
    <col min="4134" max="4135" width="0" style="1" hidden="1" customWidth="1"/>
    <col min="4136" max="4136" width="13" style="1" customWidth="1"/>
    <col min="4137" max="4139" width="0" style="1" hidden="1" customWidth="1"/>
    <col min="4140" max="4140" width="11.453125" style="1"/>
    <col min="4141" max="4141" width="12.453125" style="1" customWidth="1"/>
    <col min="4142" max="4143" width="10.7265625" style="1" customWidth="1"/>
    <col min="4144" max="4144" width="1.81640625" style="1" customWidth="1"/>
    <col min="4145" max="4145" width="2" style="1" customWidth="1"/>
    <col min="4146" max="4168" width="0" style="1" hidden="1" customWidth="1"/>
    <col min="4169" max="4169" width="13" style="1" customWidth="1"/>
    <col min="4170" max="4171" width="12.26953125" style="1" customWidth="1"/>
    <col min="4172" max="4352" width="11.453125" style="1"/>
    <col min="4353" max="4353" width="4.453125" style="1" customWidth="1"/>
    <col min="4354" max="4354" width="26.26953125" style="1" customWidth="1"/>
    <col min="4355" max="4355" width="8.26953125" style="1" customWidth="1"/>
    <col min="4356" max="4356" width="10.26953125" style="1" customWidth="1"/>
    <col min="4357" max="4357" width="11.1796875" style="1" customWidth="1"/>
    <col min="4358" max="4358" width="8.453125" style="1" customWidth="1"/>
    <col min="4359" max="4359" width="10.1796875" style="1" customWidth="1"/>
    <col min="4360" max="4360" width="10.54296875" style="1" customWidth="1"/>
    <col min="4361" max="4361" width="1.453125" style="1" customWidth="1"/>
    <col min="4362" max="4362" width="1.7265625" style="1" customWidth="1"/>
    <col min="4363" max="4368" width="0" style="1" hidden="1" customWidth="1"/>
    <col min="4369" max="4369" width="10.1796875" style="1" customWidth="1"/>
    <col min="4370" max="4373" width="0" style="1" hidden="1" customWidth="1"/>
    <col min="4374" max="4374" width="9.1796875" style="1" customWidth="1"/>
    <col min="4375" max="4375" width="11.90625" style="1" customWidth="1"/>
    <col min="4376" max="4376" width="1.453125" style="1" customWidth="1"/>
    <col min="4377" max="4377" width="1.7265625" style="1" customWidth="1"/>
    <col min="4378" max="4388" width="0" style="1" hidden="1" customWidth="1"/>
    <col min="4389" max="4389" width="11.1796875" style="1" customWidth="1"/>
    <col min="4390" max="4391" width="0" style="1" hidden="1" customWidth="1"/>
    <col min="4392" max="4392" width="13" style="1" customWidth="1"/>
    <col min="4393" max="4395" width="0" style="1" hidden="1" customWidth="1"/>
    <col min="4396" max="4396" width="11.453125" style="1"/>
    <col min="4397" max="4397" width="12.453125" style="1" customWidth="1"/>
    <col min="4398" max="4399" width="10.7265625" style="1" customWidth="1"/>
    <col min="4400" max="4400" width="1.81640625" style="1" customWidth="1"/>
    <col min="4401" max="4401" width="2" style="1" customWidth="1"/>
    <col min="4402" max="4424" width="0" style="1" hidden="1" customWidth="1"/>
    <col min="4425" max="4425" width="13" style="1" customWidth="1"/>
    <col min="4426" max="4427" width="12.26953125" style="1" customWidth="1"/>
    <col min="4428" max="4608" width="11.453125" style="1"/>
    <col min="4609" max="4609" width="4.453125" style="1" customWidth="1"/>
    <col min="4610" max="4610" width="26.26953125" style="1" customWidth="1"/>
    <col min="4611" max="4611" width="8.26953125" style="1" customWidth="1"/>
    <col min="4612" max="4612" width="10.26953125" style="1" customWidth="1"/>
    <col min="4613" max="4613" width="11.1796875" style="1" customWidth="1"/>
    <col min="4614" max="4614" width="8.453125" style="1" customWidth="1"/>
    <col min="4615" max="4615" width="10.1796875" style="1" customWidth="1"/>
    <col min="4616" max="4616" width="10.54296875" style="1" customWidth="1"/>
    <col min="4617" max="4617" width="1.453125" style="1" customWidth="1"/>
    <col min="4618" max="4618" width="1.7265625" style="1" customWidth="1"/>
    <col min="4619" max="4624" width="0" style="1" hidden="1" customWidth="1"/>
    <col min="4625" max="4625" width="10.1796875" style="1" customWidth="1"/>
    <col min="4626" max="4629" width="0" style="1" hidden="1" customWidth="1"/>
    <col min="4630" max="4630" width="9.1796875" style="1" customWidth="1"/>
    <col min="4631" max="4631" width="11.90625" style="1" customWidth="1"/>
    <col min="4632" max="4632" width="1.453125" style="1" customWidth="1"/>
    <col min="4633" max="4633" width="1.7265625" style="1" customWidth="1"/>
    <col min="4634" max="4644" width="0" style="1" hidden="1" customWidth="1"/>
    <col min="4645" max="4645" width="11.1796875" style="1" customWidth="1"/>
    <col min="4646" max="4647" width="0" style="1" hidden="1" customWidth="1"/>
    <col min="4648" max="4648" width="13" style="1" customWidth="1"/>
    <col min="4649" max="4651" width="0" style="1" hidden="1" customWidth="1"/>
    <col min="4652" max="4652" width="11.453125" style="1"/>
    <col min="4653" max="4653" width="12.453125" style="1" customWidth="1"/>
    <col min="4654" max="4655" width="10.7265625" style="1" customWidth="1"/>
    <col min="4656" max="4656" width="1.81640625" style="1" customWidth="1"/>
    <col min="4657" max="4657" width="2" style="1" customWidth="1"/>
    <col min="4658" max="4680" width="0" style="1" hidden="1" customWidth="1"/>
    <col min="4681" max="4681" width="13" style="1" customWidth="1"/>
    <col min="4682" max="4683" width="12.26953125" style="1" customWidth="1"/>
    <col min="4684" max="4864" width="11.453125" style="1"/>
    <col min="4865" max="4865" width="4.453125" style="1" customWidth="1"/>
    <col min="4866" max="4866" width="26.26953125" style="1" customWidth="1"/>
    <col min="4867" max="4867" width="8.26953125" style="1" customWidth="1"/>
    <col min="4868" max="4868" width="10.26953125" style="1" customWidth="1"/>
    <col min="4869" max="4869" width="11.1796875" style="1" customWidth="1"/>
    <col min="4870" max="4870" width="8.453125" style="1" customWidth="1"/>
    <col min="4871" max="4871" width="10.1796875" style="1" customWidth="1"/>
    <col min="4872" max="4872" width="10.54296875" style="1" customWidth="1"/>
    <col min="4873" max="4873" width="1.453125" style="1" customWidth="1"/>
    <col min="4874" max="4874" width="1.7265625" style="1" customWidth="1"/>
    <col min="4875" max="4880" width="0" style="1" hidden="1" customWidth="1"/>
    <col min="4881" max="4881" width="10.1796875" style="1" customWidth="1"/>
    <col min="4882" max="4885" width="0" style="1" hidden="1" customWidth="1"/>
    <col min="4886" max="4886" width="9.1796875" style="1" customWidth="1"/>
    <col min="4887" max="4887" width="11.90625" style="1" customWidth="1"/>
    <col min="4888" max="4888" width="1.453125" style="1" customWidth="1"/>
    <col min="4889" max="4889" width="1.7265625" style="1" customWidth="1"/>
    <col min="4890" max="4900" width="0" style="1" hidden="1" customWidth="1"/>
    <col min="4901" max="4901" width="11.1796875" style="1" customWidth="1"/>
    <col min="4902" max="4903" width="0" style="1" hidden="1" customWidth="1"/>
    <col min="4904" max="4904" width="13" style="1" customWidth="1"/>
    <col min="4905" max="4907" width="0" style="1" hidden="1" customWidth="1"/>
    <col min="4908" max="4908" width="11.453125" style="1"/>
    <col min="4909" max="4909" width="12.453125" style="1" customWidth="1"/>
    <col min="4910" max="4911" width="10.7265625" style="1" customWidth="1"/>
    <col min="4912" max="4912" width="1.81640625" style="1" customWidth="1"/>
    <col min="4913" max="4913" width="2" style="1" customWidth="1"/>
    <col min="4914" max="4936" width="0" style="1" hidden="1" customWidth="1"/>
    <col min="4937" max="4937" width="13" style="1" customWidth="1"/>
    <col min="4938" max="4939" width="12.26953125" style="1" customWidth="1"/>
    <col min="4940" max="5120" width="11.453125" style="1"/>
    <col min="5121" max="5121" width="4.453125" style="1" customWidth="1"/>
    <col min="5122" max="5122" width="26.26953125" style="1" customWidth="1"/>
    <col min="5123" max="5123" width="8.26953125" style="1" customWidth="1"/>
    <col min="5124" max="5124" width="10.26953125" style="1" customWidth="1"/>
    <col min="5125" max="5125" width="11.1796875" style="1" customWidth="1"/>
    <col min="5126" max="5126" width="8.453125" style="1" customWidth="1"/>
    <col min="5127" max="5127" width="10.1796875" style="1" customWidth="1"/>
    <col min="5128" max="5128" width="10.54296875" style="1" customWidth="1"/>
    <col min="5129" max="5129" width="1.453125" style="1" customWidth="1"/>
    <col min="5130" max="5130" width="1.7265625" style="1" customWidth="1"/>
    <col min="5131" max="5136" width="0" style="1" hidden="1" customWidth="1"/>
    <col min="5137" max="5137" width="10.1796875" style="1" customWidth="1"/>
    <col min="5138" max="5141" width="0" style="1" hidden="1" customWidth="1"/>
    <col min="5142" max="5142" width="9.1796875" style="1" customWidth="1"/>
    <col min="5143" max="5143" width="11.90625" style="1" customWidth="1"/>
    <col min="5144" max="5144" width="1.453125" style="1" customWidth="1"/>
    <col min="5145" max="5145" width="1.7265625" style="1" customWidth="1"/>
    <col min="5146" max="5156" width="0" style="1" hidden="1" customWidth="1"/>
    <col min="5157" max="5157" width="11.1796875" style="1" customWidth="1"/>
    <col min="5158" max="5159" width="0" style="1" hidden="1" customWidth="1"/>
    <col min="5160" max="5160" width="13" style="1" customWidth="1"/>
    <col min="5161" max="5163" width="0" style="1" hidden="1" customWidth="1"/>
    <col min="5164" max="5164" width="11.453125" style="1"/>
    <col min="5165" max="5165" width="12.453125" style="1" customWidth="1"/>
    <col min="5166" max="5167" width="10.7265625" style="1" customWidth="1"/>
    <col min="5168" max="5168" width="1.81640625" style="1" customWidth="1"/>
    <col min="5169" max="5169" width="2" style="1" customWidth="1"/>
    <col min="5170" max="5192" width="0" style="1" hidden="1" customWidth="1"/>
    <col min="5193" max="5193" width="13" style="1" customWidth="1"/>
    <col min="5194" max="5195" width="12.26953125" style="1" customWidth="1"/>
    <col min="5196" max="5376" width="11.453125" style="1"/>
    <col min="5377" max="5377" width="4.453125" style="1" customWidth="1"/>
    <col min="5378" max="5378" width="26.26953125" style="1" customWidth="1"/>
    <col min="5379" max="5379" width="8.26953125" style="1" customWidth="1"/>
    <col min="5380" max="5380" width="10.26953125" style="1" customWidth="1"/>
    <col min="5381" max="5381" width="11.1796875" style="1" customWidth="1"/>
    <col min="5382" max="5382" width="8.453125" style="1" customWidth="1"/>
    <col min="5383" max="5383" width="10.1796875" style="1" customWidth="1"/>
    <col min="5384" max="5384" width="10.54296875" style="1" customWidth="1"/>
    <col min="5385" max="5385" width="1.453125" style="1" customWidth="1"/>
    <col min="5386" max="5386" width="1.7265625" style="1" customWidth="1"/>
    <col min="5387" max="5392" width="0" style="1" hidden="1" customWidth="1"/>
    <col min="5393" max="5393" width="10.1796875" style="1" customWidth="1"/>
    <col min="5394" max="5397" width="0" style="1" hidden="1" customWidth="1"/>
    <col min="5398" max="5398" width="9.1796875" style="1" customWidth="1"/>
    <col min="5399" max="5399" width="11.90625" style="1" customWidth="1"/>
    <col min="5400" max="5400" width="1.453125" style="1" customWidth="1"/>
    <col min="5401" max="5401" width="1.7265625" style="1" customWidth="1"/>
    <col min="5402" max="5412" width="0" style="1" hidden="1" customWidth="1"/>
    <col min="5413" max="5413" width="11.1796875" style="1" customWidth="1"/>
    <col min="5414" max="5415" width="0" style="1" hidden="1" customWidth="1"/>
    <col min="5416" max="5416" width="13" style="1" customWidth="1"/>
    <col min="5417" max="5419" width="0" style="1" hidden="1" customWidth="1"/>
    <col min="5420" max="5420" width="11.453125" style="1"/>
    <col min="5421" max="5421" width="12.453125" style="1" customWidth="1"/>
    <col min="5422" max="5423" width="10.7265625" style="1" customWidth="1"/>
    <col min="5424" max="5424" width="1.81640625" style="1" customWidth="1"/>
    <col min="5425" max="5425" width="2" style="1" customWidth="1"/>
    <col min="5426" max="5448" width="0" style="1" hidden="1" customWidth="1"/>
    <col min="5449" max="5449" width="13" style="1" customWidth="1"/>
    <col min="5450" max="5451" width="12.26953125" style="1" customWidth="1"/>
    <col min="5452" max="5632" width="11.453125" style="1"/>
    <col min="5633" max="5633" width="4.453125" style="1" customWidth="1"/>
    <col min="5634" max="5634" width="26.26953125" style="1" customWidth="1"/>
    <col min="5635" max="5635" width="8.26953125" style="1" customWidth="1"/>
    <col min="5636" max="5636" width="10.26953125" style="1" customWidth="1"/>
    <col min="5637" max="5637" width="11.1796875" style="1" customWidth="1"/>
    <col min="5638" max="5638" width="8.453125" style="1" customWidth="1"/>
    <col min="5639" max="5639" width="10.1796875" style="1" customWidth="1"/>
    <col min="5640" max="5640" width="10.54296875" style="1" customWidth="1"/>
    <col min="5641" max="5641" width="1.453125" style="1" customWidth="1"/>
    <col min="5642" max="5642" width="1.7265625" style="1" customWidth="1"/>
    <col min="5643" max="5648" width="0" style="1" hidden="1" customWidth="1"/>
    <col min="5649" max="5649" width="10.1796875" style="1" customWidth="1"/>
    <col min="5650" max="5653" width="0" style="1" hidden="1" customWidth="1"/>
    <col min="5654" max="5654" width="9.1796875" style="1" customWidth="1"/>
    <col min="5655" max="5655" width="11.90625" style="1" customWidth="1"/>
    <col min="5656" max="5656" width="1.453125" style="1" customWidth="1"/>
    <col min="5657" max="5657" width="1.7265625" style="1" customWidth="1"/>
    <col min="5658" max="5668" width="0" style="1" hidden="1" customWidth="1"/>
    <col min="5669" max="5669" width="11.1796875" style="1" customWidth="1"/>
    <col min="5670" max="5671" width="0" style="1" hidden="1" customWidth="1"/>
    <col min="5672" max="5672" width="13" style="1" customWidth="1"/>
    <col min="5673" max="5675" width="0" style="1" hidden="1" customWidth="1"/>
    <col min="5676" max="5676" width="11.453125" style="1"/>
    <col min="5677" max="5677" width="12.453125" style="1" customWidth="1"/>
    <col min="5678" max="5679" width="10.7265625" style="1" customWidth="1"/>
    <col min="5680" max="5680" width="1.81640625" style="1" customWidth="1"/>
    <col min="5681" max="5681" width="2" style="1" customWidth="1"/>
    <col min="5682" max="5704" width="0" style="1" hidden="1" customWidth="1"/>
    <col min="5705" max="5705" width="13" style="1" customWidth="1"/>
    <col min="5706" max="5707" width="12.26953125" style="1" customWidth="1"/>
    <col min="5708" max="5888" width="11.453125" style="1"/>
    <col min="5889" max="5889" width="4.453125" style="1" customWidth="1"/>
    <col min="5890" max="5890" width="26.26953125" style="1" customWidth="1"/>
    <col min="5891" max="5891" width="8.26953125" style="1" customWidth="1"/>
    <col min="5892" max="5892" width="10.26953125" style="1" customWidth="1"/>
    <col min="5893" max="5893" width="11.1796875" style="1" customWidth="1"/>
    <col min="5894" max="5894" width="8.453125" style="1" customWidth="1"/>
    <col min="5895" max="5895" width="10.1796875" style="1" customWidth="1"/>
    <col min="5896" max="5896" width="10.54296875" style="1" customWidth="1"/>
    <col min="5897" max="5897" width="1.453125" style="1" customWidth="1"/>
    <col min="5898" max="5898" width="1.7265625" style="1" customWidth="1"/>
    <col min="5899" max="5904" width="0" style="1" hidden="1" customWidth="1"/>
    <col min="5905" max="5905" width="10.1796875" style="1" customWidth="1"/>
    <col min="5906" max="5909" width="0" style="1" hidden="1" customWidth="1"/>
    <col min="5910" max="5910" width="9.1796875" style="1" customWidth="1"/>
    <col min="5911" max="5911" width="11.90625" style="1" customWidth="1"/>
    <col min="5912" max="5912" width="1.453125" style="1" customWidth="1"/>
    <col min="5913" max="5913" width="1.7265625" style="1" customWidth="1"/>
    <col min="5914" max="5924" width="0" style="1" hidden="1" customWidth="1"/>
    <col min="5925" max="5925" width="11.1796875" style="1" customWidth="1"/>
    <col min="5926" max="5927" width="0" style="1" hidden="1" customWidth="1"/>
    <col min="5928" max="5928" width="13" style="1" customWidth="1"/>
    <col min="5929" max="5931" width="0" style="1" hidden="1" customWidth="1"/>
    <col min="5932" max="5932" width="11.453125" style="1"/>
    <col min="5933" max="5933" width="12.453125" style="1" customWidth="1"/>
    <col min="5934" max="5935" width="10.7265625" style="1" customWidth="1"/>
    <col min="5936" max="5936" width="1.81640625" style="1" customWidth="1"/>
    <col min="5937" max="5937" width="2" style="1" customWidth="1"/>
    <col min="5938" max="5960" width="0" style="1" hidden="1" customWidth="1"/>
    <col min="5961" max="5961" width="13" style="1" customWidth="1"/>
    <col min="5962" max="5963" width="12.26953125" style="1" customWidth="1"/>
    <col min="5964" max="6144" width="11.453125" style="1"/>
    <col min="6145" max="6145" width="4.453125" style="1" customWidth="1"/>
    <col min="6146" max="6146" width="26.26953125" style="1" customWidth="1"/>
    <col min="6147" max="6147" width="8.26953125" style="1" customWidth="1"/>
    <col min="6148" max="6148" width="10.26953125" style="1" customWidth="1"/>
    <col min="6149" max="6149" width="11.1796875" style="1" customWidth="1"/>
    <col min="6150" max="6150" width="8.453125" style="1" customWidth="1"/>
    <col min="6151" max="6151" width="10.1796875" style="1" customWidth="1"/>
    <col min="6152" max="6152" width="10.54296875" style="1" customWidth="1"/>
    <col min="6153" max="6153" width="1.453125" style="1" customWidth="1"/>
    <col min="6154" max="6154" width="1.7265625" style="1" customWidth="1"/>
    <col min="6155" max="6160" width="0" style="1" hidden="1" customWidth="1"/>
    <col min="6161" max="6161" width="10.1796875" style="1" customWidth="1"/>
    <col min="6162" max="6165" width="0" style="1" hidden="1" customWidth="1"/>
    <col min="6166" max="6166" width="9.1796875" style="1" customWidth="1"/>
    <col min="6167" max="6167" width="11.90625" style="1" customWidth="1"/>
    <col min="6168" max="6168" width="1.453125" style="1" customWidth="1"/>
    <col min="6169" max="6169" width="1.7265625" style="1" customWidth="1"/>
    <col min="6170" max="6180" width="0" style="1" hidden="1" customWidth="1"/>
    <col min="6181" max="6181" width="11.1796875" style="1" customWidth="1"/>
    <col min="6182" max="6183" width="0" style="1" hidden="1" customWidth="1"/>
    <col min="6184" max="6184" width="13" style="1" customWidth="1"/>
    <col min="6185" max="6187" width="0" style="1" hidden="1" customWidth="1"/>
    <col min="6188" max="6188" width="11.453125" style="1"/>
    <col min="6189" max="6189" width="12.453125" style="1" customWidth="1"/>
    <col min="6190" max="6191" width="10.7265625" style="1" customWidth="1"/>
    <col min="6192" max="6192" width="1.81640625" style="1" customWidth="1"/>
    <col min="6193" max="6193" width="2" style="1" customWidth="1"/>
    <col min="6194" max="6216" width="0" style="1" hidden="1" customWidth="1"/>
    <col min="6217" max="6217" width="13" style="1" customWidth="1"/>
    <col min="6218" max="6219" width="12.26953125" style="1" customWidth="1"/>
    <col min="6220" max="6400" width="11.453125" style="1"/>
    <col min="6401" max="6401" width="4.453125" style="1" customWidth="1"/>
    <col min="6402" max="6402" width="26.26953125" style="1" customWidth="1"/>
    <col min="6403" max="6403" width="8.26953125" style="1" customWidth="1"/>
    <col min="6404" max="6404" width="10.26953125" style="1" customWidth="1"/>
    <col min="6405" max="6405" width="11.1796875" style="1" customWidth="1"/>
    <col min="6406" max="6406" width="8.453125" style="1" customWidth="1"/>
    <col min="6407" max="6407" width="10.1796875" style="1" customWidth="1"/>
    <col min="6408" max="6408" width="10.54296875" style="1" customWidth="1"/>
    <col min="6409" max="6409" width="1.453125" style="1" customWidth="1"/>
    <col min="6410" max="6410" width="1.7265625" style="1" customWidth="1"/>
    <col min="6411" max="6416" width="0" style="1" hidden="1" customWidth="1"/>
    <col min="6417" max="6417" width="10.1796875" style="1" customWidth="1"/>
    <col min="6418" max="6421" width="0" style="1" hidden="1" customWidth="1"/>
    <col min="6422" max="6422" width="9.1796875" style="1" customWidth="1"/>
    <col min="6423" max="6423" width="11.90625" style="1" customWidth="1"/>
    <col min="6424" max="6424" width="1.453125" style="1" customWidth="1"/>
    <col min="6425" max="6425" width="1.7265625" style="1" customWidth="1"/>
    <col min="6426" max="6436" width="0" style="1" hidden="1" customWidth="1"/>
    <col min="6437" max="6437" width="11.1796875" style="1" customWidth="1"/>
    <col min="6438" max="6439" width="0" style="1" hidden="1" customWidth="1"/>
    <col min="6440" max="6440" width="13" style="1" customWidth="1"/>
    <col min="6441" max="6443" width="0" style="1" hidden="1" customWidth="1"/>
    <col min="6444" max="6444" width="11.453125" style="1"/>
    <col min="6445" max="6445" width="12.453125" style="1" customWidth="1"/>
    <col min="6446" max="6447" width="10.7265625" style="1" customWidth="1"/>
    <col min="6448" max="6448" width="1.81640625" style="1" customWidth="1"/>
    <col min="6449" max="6449" width="2" style="1" customWidth="1"/>
    <col min="6450" max="6472" width="0" style="1" hidden="1" customWidth="1"/>
    <col min="6473" max="6473" width="13" style="1" customWidth="1"/>
    <col min="6474" max="6475" width="12.26953125" style="1" customWidth="1"/>
    <col min="6476" max="6656" width="11.453125" style="1"/>
    <col min="6657" max="6657" width="4.453125" style="1" customWidth="1"/>
    <col min="6658" max="6658" width="26.26953125" style="1" customWidth="1"/>
    <col min="6659" max="6659" width="8.26953125" style="1" customWidth="1"/>
    <col min="6660" max="6660" width="10.26953125" style="1" customWidth="1"/>
    <col min="6661" max="6661" width="11.1796875" style="1" customWidth="1"/>
    <col min="6662" max="6662" width="8.453125" style="1" customWidth="1"/>
    <col min="6663" max="6663" width="10.1796875" style="1" customWidth="1"/>
    <col min="6664" max="6664" width="10.54296875" style="1" customWidth="1"/>
    <col min="6665" max="6665" width="1.453125" style="1" customWidth="1"/>
    <col min="6666" max="6666" width="1.7265625" style="1" customWidth="1"/>
    <col min="6667" max="6672" width="0" style="1" hidden="1" customWidth="1"/>
    <col min="6673" max="6673" width="10.1796875" style="1" customWidth="1"/>
    <col min="6674" max="6677" width="0" style="1" hidden="1" customWidth="1"/>
    <col min="6678" max="6678" width="9.1796875" style="1" customWidth="1"/>
    <col min="6679" max="6679" width="11.90625" style="1" customWidth="1"/>
    <col min="6680" max="6680" width="1.453125" style="1" customWidth="1"/>
    <col min="6681" max="6681" width="1.7265625" style="1" customWidth="1"/>
    <col min="6682" max="6692" width="0" style="1" hidden="1" customWidth="1"/>
    <col min="6693" max="6693" width="11.1796875" style="1" customWidth="1"/>
    <col min="6694" max="6695" width="0" style="1" hidden="1" customWidth="1"/>
    <col min="6696" max="6696" width="13" style="1" customWidth="1"/>
    <col min="6697" max="6699" width="0" style="1" hidden="1" customWidth="1"/>
    <col min="6700" max="6700" width="11.453125" style="1"/>
    <col min="6701" max="6701" width="12.453125" style="1" customWidth="1"/>
    <col min="6702" max="6703" width="10.7265625" style="1" customWidth="1"/>
    <col min="6704" max="6704" width="1.81640625" style="1" customWidth="1"/>
    <col min="6705" max="6705" width="2" style="1" customWidth="1"/>
    <col min="6706" max="6728" width="0" style="1" hidden="1" customWidth="1"/>
    <col min="6729" max="6729" width="13" style="1" customWidth="1"/>
    <col min="6730" max="6731" width="12.26953125" style="1" customWidth="1"/>
    <col min="6732" max="6912" width="11.453125" style="1"/>
    <col min="6913" max="6913" width="4.453125" style="1" customWidth="1"/>
    <col min="6914" max="6914" width="26.26953125" style="1" customWidth="1"/>
    <col min="6915" max="6915" width="8.26953125" style="1" customWidth="1"/>
    <col min="6916" max="6916" width="10.26953125" style="1" customWidth="1"/>
    <col min="6917" max="6917" width="11.1796875" style="1" customWidth="1"/>
    <col min="6918" max="6918" width="8.453125" style="1" customWidth="1"/>
    <col min="6919" max="6919" width="10.1796875" style="1" customWidth="1"/>
    <col min="6920" max="6920" width="10.54296875" style="1" customWidth="1"/>
    <col min="6921" max="6921" width="1.453125" style="1" customWidth="1"/>
    <col min="6922" max="6922" width="1.7265625" style="1" customWidth="1"/>
    <col min="6923" max="6928" width="0" style="1" hidden="1" customWidth="1"/>
    <col min="6929" max="6929" width="10.1796875" style="1" customWidth="1"/>
    <col min="6930" max="6933" width="0" style="1" hidden="1" customWidth="1"/>
    <col min="6934" max="6934" width="9.1796875" style="1" customWidth="1"/>
    <col min="6935" max="6935" width="11.90625" style="1" customWidth="1"/>
    <col min="6936" max="6936" width="1.453125" style="1" customWidth="1"/>
    <col min="6937" max="6937" width="1.7265625" style="1" customWidth="1"/>
    <col min="6938" max="6948" width="0" style="1" hidden="1" customWidth="1"/>
    <col min="6949" max="6949" width="11.1796875" style="1" customWidth="1"/>
    <col min="6950" max="6951" width="0" style="1" hidden="1" customWidth="1"/>
    <col min="6952" max="6952" width="13" style="1" customWidth="1"/>
    <col min="6953" max="6955" width="0" style="1" hidden="1" customWidth="1"/>
    <col min="6956" max="6956" width="11.453125" style="1"/>
    <col min="6957" max="6957" width="12.453125" style="1" customWidth="1"/>
    <col min="6958" max="6959" width="10.7265625" style="1" customWidth="1"/>
    <col min="6960" max="6960" width="1.81640625" style="1" customWidth="1"/>
    <col min="6961" max="6961" width="2" style="1" customWidth="1"/>
    <col min="6962" max="6984" width="0" style="1" hidden="1" customWidth="1"/>
    <col min="6985" max="6985" width="13" style="1" customWidth="1"/>
    <col min="6986" max="6987" width="12.26953125" style="1" customWidth="1"/>
    <col min="6988" max="7168" width="11.453125" style="1"/>
    <col min="7169" max="7169" width="4.453125" style="1" customWidth="1"/>
    <col min="7170" max="7170" width="26.26953125" style="1" customWidth="1"/>
    <col min="7171" max="7171" width="8.26953125" style="1" customWidth="1"/>
    <col min="7172" max="7172" width="10.26953125" style="1" customWidth="1"/>
    <col min="7173" max="7173" width="11.1796875" style="1" customWidth="1"/>
    <col min="7174" max="7174" width="8.453125" style="1" customWidth="1"/>
    <col min="7175" max="7175" width="10.1796875" style="1" customWidth="1"/>
    <col min="7176" max="7176" width="10.54296875" style="1" customWidth="1"/>
    <col min="7177" max="7177" width="1.453125" style="1" customWidth="1"/>
    <col min="7178" max="7178" width="1.7265625" style="1" customWidth="1"/>
    <col min="7179" max="7184" width="0" style="1" hidden="1" customWidth="1"/>
    <col min="7185" max="7185" width="10.1796875" style="1" customWidth="1"/>
    <col min="7186" max="7189" width="0" style="1" hidden="1" customWidth="1"/>
    <col min="7190" max="7190" width="9.1796875" style="1" customWidth="1"/>
    <col min="7191" max="7191" width="11.90625" style="1" customWidth="1"/>
    <col min="7192" max="7192" width="1.453125" style="1" customWidth="1"/>
    <col min="7193" max="7193" width="1.7265625" style="1" customWidth="1"/>
    <col min="7194" max="7204" width="0" style="1" hidden="1" customWidth="1"/>
    <col min="7205" max="7205" width="11.1796875" style="1" customWidth="1"/>
    <col min="7206" max="7207" width="0" style="1" hidden="1" customWidth="1"/>
    <col min="7208" max="7208" width="13" style="1" customWidth="1"/>
    <col min="7209" max="7211" width="0" style="1" hidden="1" customWidth="1"/>
    <col min="7212" max="7212" width="11.453125" style="1"/>
    <col min="7213" max="7213" width="12.453125" style="1" customWidth="1"/>
    <col min="7214" max="7215" width="10.7265625" style="1" customWidth="1"/>
    <col min="7216" max="7216" width="1.81640625" style="1" customWidth="1"/>
    <col min="7217" max="7217" width="2" style="1" customWidth="1"/>
    <col min="7218" max="7240" width="0" style="1" hidden="1" customWidth="1"/>
    <col min="7241" max="7241" width="13" style="1" customWidth="1"/>
    <col min="7242" max="7243" width="12.26953125" style="1" customWidth="1"/>
    <col min="7244" max="7424" width="11.453125" style="1"/>
    <col min="7425" max="7425" width="4.453125" style="1" customWidth="1"/>
    <col min="7426" max="7426" width="26.26953125" style="1" customWidth="1"/>
    <col min="7427" max="7427" width="8.26953125" style="1" customWidth="1"/>
    <col min="7428" max="7428" width="10.26953125" style="1" customWidth="1"/>
    <col min="7429" max="7429" width="11.1796875" style="1" customWidth="1"/>
    <col min="7430" max="7430" width="8.453125" style="1" customWidth="1"/>
    <col min="7431" max="7431" width="10.1796875" style="1" customWidth="1"/>
    <col min="7432" max="7432" width="10.54296875" style="1" customWidth="1"/>
    <col min="7433" max="7433" width="1.453125" style="1" customWidth="1"/>
    <col min="7434" max="7434" width="1.7265625" style="1" customWidth="1"/>
    <col min="7435" max="7440" width="0" style="1" hidden="1" customWidth="1"/>
    <col min="7441" max="7441" width="10.1796875" style="1" customWidth="1"/>
    <col min="7442" max="7445" width="0" style="1" hidden="1" customWidth="1"/>
    <col min="7446" max="7446" width="9.1796875" style="1" customWidth="1"/>
    <col min="7447" max="7447" width="11.90625" style="1" customWidth="1"/>
    <col min="7448" max="7448" width="1.453125" style="1" customWidth="1"/>
    <col min="7449" max="7449" width="1.7265625" style="1" customWidth="1"/>
    <col min="7450" max="7460" width="0" style="1" hidden="1" customWidth="1"/>
    <col min="7461" max="7461" width="11.1796875" style="1" customWidth="1"/>
    <col min="7462" max="7463" width="0" style="1" hidden="1" customWidth="1"/>
    <col min="7464" max="7464" width="13" style="1" customWidth="1"/>
    <col min="7465" max="7467" width="0" style="1" hidden="1" customWidth="1"/>
    <col min="7468" max="7468" width="11.453125" style="1"/>
    <col min="7469" max="7469" width="12.453125" style="1" customWidth="1"/>
    <col min="7470" max="7471" width="10.7265625" style="1" customWidth="1"/>
    <col min="7472" max="7472" width="1.81640625" style="1" customWidth="1"/>
    <col min="7473" max="7473" width="2" style="1" customWidth="1"/>
    <col min="7474" max="7496" width="0" style="1" hidden="1" customWidth="1"/>
    <col min="7497" max="7497" width="13" style="1" customWidth="1"/>
    <col min="7498" max="7499" width="12.26953125" style="1" customWidth="1"/>
    <col min="7500" max="7680" width="11.453125" style="1"/>
    <col min="7681" max="7681" width="4.453125" style="1" customWidth="1"/>
    <col min="7682" max="7682" width="26.26953125" style="1" customWidth="1"/>
    <col min="7683" max="7683" width="8.26953125" style="1" customWidth="1"/>
    <col min="7684" max="7684" width="10.26953125" style="1" customWidth="1"/>
    <col min="7685" max="7685" width="11.1796875" style="1" customWidth="1"/>
    <col min="7686" max="7686" width="8.453125" style="1" customWidth="1"/>
    <col min="7687" max="7687" width="10.1796875" style="1" customWidth="1"/>
    <col min="7688" max="7688" width="10.54296875" style="1" customWidth="1"/>
    <col min="7689" max="7689" width="1.453125" style="1" customWidth="1"/>
    <col min="7690" max="7690" width="1.7265625" style="1" customWidth="1"/>
    <col min="7691" max="7696" width="0" style="1" hidden="1" customWidth="1"/>
    <col min="7697" max="7697" width="10.1796875" style="1" customWidth="1"/>
    <col min="7698" max="7701" width="0" style="1" hidden="1" customWidth="1"/>
    <col min="7702" max="7702" width="9.1796875" style="1" customWidth="1"/>
    <col min="7703" max="7703" width="11.90625" style="1" customWidth="1"/>
    <col min="7704" max="7704" width="1.453125" style="1" customWidth="1"/>
    <col min="7705" max="7705" width="1.7265625" style="1" customWidth="1"/>
    <col min="7706" max="7716" width="0" style="1" hidden="1" customWidth="1"/>
    <col min="7717" max="7717" width="11.1796875" style="1" customWidth="1"/>
    <col min="7718" max="7719" width="0" style="1" hidden="1" customWidth="1"/>
    <col min="7720" max="7720" width="13" style="1" customWidth="1"/>
    <col min="7721" max="7723" width="0" style="1" hidden="1" customWidth="1"/>
    <col min="7724" max="7724" width="11.453125" style="1"/>
    <col min="7725" max="7725" width="12.453125" style="1" customWidth="1"/>
    <col min="7726" max="7727" width="10.7265625" style="1" customWidth="1"/>
    <col min="7728" max="7728" width="1.81640625" style="1" customWidth="1"/>
    <col min="7729" max="7729" width="2" style="1" customWidth="1"/>
    <col min="7730" max="7752" width="0" style="1" hidden="1" customWidth="1"/>
    <col min="7753" max="7753" width="13" style="1" customWidth="1"/>
    <col min="7754" max="7755" width="12.26953125" style="1" customWidth="1"/>
    <col min="7756" max="7936" width="11.453125" style="1"/>
    <col min="7937" max="7937" width="4.453125" style="1" customWidth="1"/>
    <col min="7938" max="7938" width="26.26953125" style="1" customWidth="1"/>
    <col min="7939" max="7939" width="8.26953125" style="1" customWidth="1"/>
    <col min="7940" max="7940" width="10.26953125" style="1" customWidth="1"/>
    <col min="7941" max="7941" width="11.1796875" style="1" customWidth="1"/>
    <col min="7942" max="7942" width="8.453125" style="1" customWidth="1"/>
    <col min="7943" max="7943" width="10.1796875" style="1" customWidth="1"/>
    <col min="7944" max="7944" width="10.54296875" style="1" customWidth="1"/>
    <col min="7945" max="7945" width="1.453125" style="1" customWidth="1"/>
    <col min="7946" max="7946" width="1.7265625" style="1" customWidth="1"/>
    <col min="7947" max="7952" width="0" style="1" hidden="1" customWidth="1"/>
    <col min="7953" max="7953" width="10.1796875" style="1" customWidth="1"/>
    <col min="7954" max="7957" width="0" style="1" hidden="1" customWidth="1"/>
    <col min="7958" max="7958" width="9.1796875" style="1" customWidth="1"/>
    <col min="7959" max="7959" width="11.90625" style="1" customWidth="1"/>
    <col min="7960" max="7960" width="1.453125" style="1" customWidth="1"/>
    <col min="7961" max="7961" width="1.7265625" style="1" customWidth="1"/>
    <col min="7962" max="7972" width="0" style="1" hidden="1" customWidth="1"/>
    <col min="7973" max="7973" width="11.1796875" style="1" customWidth="1"/>
    <col min="7974" max="7975" width="0" style="1" hidden="1" customWidth="1"/>
    <col min="7976" max="7976" width="13" style="1" customWidth="1"/>
    <col min="7977" max="7979" width="0" style="1" hidden="1" customWidth="1"/>
    <col min="7980" max="7980" width="11.453125" style="1"/>
    <col min="7981" max="7981" width="12.453125" style="1" customWidth="1"/>
    <col min="7982" max="7983" width="10.7265625" style="1" customWidth="1"/>
    <col min="7984" max="7984" width="1.81640625" style="1" customWidth="1"/>
    <col min="7985" max="7985" width="2" style="1" customWidth="1"/>
    <col min="7986" max="8008" width="0" style="1" hidden="1" customWidth="1"/>
    <col min="8009" max="8009" width="13" style="1" customWidth="1"/>
    <col min="8010" max="8011" width="12.26953125" style="1" customWidth="1"/>
    <col min="8012" max="8192" width="11.453125" style="1"/>
    <col min="8193" max="8193" width="4.453125" style="1" customWidth="1"/>
    <col min="8194" max="8194" width="26.26953125" style="1" customWidth="1"/>
    <col min="8195" max="8195" width="8.26953125" style="1" customWidth="1"/>
    <col min="8196" max="8196" width="10.26953125" style="1" customWidth="1"/>
    <col min="8197" max="8197" width="11.1796875" style="1" customWidth="1"/>
    <col min="8198" max="8198" width="8.453125" style="1" customWidth="1"/>
    <col min="8199" max="8199" width="10.1796875" style="1" customWidth="1"/>
    <col min="8200" max="8200" width="10.54296875" style="1" customWidth="1"/>
    <col min="8201" max="8201" width="1.453125" style="1" customWidth="1"/>
    <col min="8202" max="8202" width="1.7265625" style="1" customWidth="1"/>
    <col min="8203" max="8208" width="0" style="1" hidden="1" customWidth="1"/>
    <col min="8209" max="8209" width="10.1796875" style="1" customWidth="1"/>
    <col min="8210" max="8213" width="0" style="1" hidden="1" customWidth="1"/>
    <col min="8214" max="8214" width="9.1796875" style="1" customWidth="1"/>
    <col min="8215" max="8215" width="11.90625" style="1" customWidth="1"/>
    <col min="8216" max="8216" width="1.453125" style="1" customWidth="1"/>
    <col min="8217" max="8217" width="1.7265625" style="1" customWidth="1"/>
    <col min="8218" max="8228" width="0" style="1" hidden="1" customWidth="1"/>
    <col min="8229" max="8229" width="11.1796875" style="1" customWidth="1"/>
    <col min="8230" max="8231" width="0" style="1" hidden="1" customWidth="1"/>
    <col min="8232" max="8232" width="13" style="1" customWidth="1"/>
    <col min="8233" max="8235" width="0" style="1" hidden="1" customWidth="1"/>
    <col min="8236" max="8236" width="11.453125" style="1"/>
    <col min="8237" max="8237" width="12.453125" style="1" customWidth="1"/>
    <col min="8238" max="8239" width="10.7265625" style="1" customWidth="1"/>
    <col min="8240" max="8240" width="1.81640625" style="1" customWidth="1"/>
    <col min="8241" max="8241" width="2" style="1" customWidth="1"/>
    <col min="8242" max="8264" width="0" style="1" hidden="1" customWidth="1"/>
    <col min="8265" max="8265" width="13" style="1" customWidth="1"/>
    <col min="8266" max="8267" width="12.26953125" style="1" customWidth="1"/>
    <col min="8268" max="8448" width="11.453125" style="1"/>
    <col min="8449" max="8449" width="4.453125" style="1" customWidth="1"/>
    <col min="8450" max="8450" width="26.26953125" style="1" customWidth="1"/>
    <col min="8451" max="8451" width="8.26953125" style="1" customWidth="1"/>
    <col min="8452" max="8452" width="10.26953125" style="1" customWidth="1"/>
    <col min="8453" max="8453" width="11.1796875" style="1" customWidth="1"/>
    <col min="8454" max="8454" width="8.453125" style="1" customWidth="1"/>
    <col min="8455" max="8455" width="10.1796875" style="1" customWidth="1"/>
    <col min="8456" max="8456" width="10.54296875" style="1" customWidth="1"/>
    <col min="8457" max="8457" width="1.453125" style="1" customWidth="1"/>
    <col min="8458" max="8458" width="1.7265625" style="1" customWidth="1"/>
    <col min="8459" max="8464" width="0" style="1" hidden="1" customWidth="1"/>
    <col min="8465" max="8465" width="10.1796875" style="1" customWidth="1"/>
    <col min="8466" max="8469" width="0" style="1" hidden="1" customWidth="1"/>
    <col min="8470" max="8470" width="9.1796875" style="1" customWidth="1"/>
    <col min="8471" max="8471" width="11.90625" style="1" customWidth="1"/>
    <col min="8472" max="8472" width="1.453125" style="1" customWidth="1"/>
    <col min="8473" max="8473" width="1.7265625" style="1" customWidth="1"/>
    <col min="8474" max="8484" width="0" style="1" hidden="1" customWidth="1"/>
    <col min="8485" max="8485" width="11.1796875" style="1" customWidth="1"/>
    <col min="8486" max="8487" width="0" style="1" hidden="1" customWidth="1"/>
    <col min="8488" max="8488" width="13" style="1" customWidth="1"/>
    <col min="8489" max="8491" width="0" style="1" hidden="1" customWidth="1"/>
    <col min="8492" max="8492" width="11.453125" style="1"/>
    <col min="8493" max="8493" width="12.453125" style="1" customWidth="1"/>
    <col min="8494" max="8495" width="10.7265625" style="1" customWidth="1"/>
    <col min="8496" max="8496" width="1.81640625" style="1" customWidth="1"/>
    <col min="8497" max="8497" width="2" style="1" customWidth="1"/>
    <col min="8498" max="8520" width="0" style="1" hidden="1" customWidth="1"/>
    <col min="8521" max="8521" width="13" style="1" customWidth="1"/>
    <col min="8522" max="8523" width="12.26953125" style="1" customWidth="1"/>
    <col min="8524" max="8704" width="11.453125" style="1"/>
    <col min="8705" max="8705" width="4.453125" style="1" customWidth="1"/>
    <col min="8706" max="8706" width="26.26953125" style="1" customWidth="1"/>
    <col min="8707" max="8707" width="8.26953125" style="1" customWidth="1"/>
    <col min="8708" max="8708" width="10.26953125" style="1" customWidth="1"/>
    <col min="8709" max="8709" width="11.1796875" style="1" customWidth="1"/>
    <col min="8710" max="8710" width="8.453125" style="1" customWidth="1"/>
    <col min="8711" max="8711" width="10.1796875" style="1" customWidth="1"/>
    <col min="8712" max="8712" width="10.54296875" style="1" customWidth="1"/>
    <col min="8713" max="8713" width="1.453125" style="1" customWidth="1"/>
    <col min="8714" max="8714" width="1.7265625" style="1" customWidth="1"/>
    <col min="8715" max="8720" width="0" style="1" hidden="1" customWidth="1"/>
    <col min="8721" max="8721" width="10.1796875" style="1" customWidth="1"/>
    <col min="8722" max="8725" width="0" style="1" hidden="1" customWidth="1"/>
    <col min="8726" max="8726" width="9.1796875" style="1" customWidth="1"/>
    <col min="8727" max="8727" width="11.90625" style="1" customWidth="1"/>
    <col min="8728" max="8728" width="1.453125" style="1" customWidth="1"/>
    <col min="8729" max="8729" width="1.7265625" style="1" customWidth="1"/>
    <col min="8730" max="8740" width="0" style="1" hidden="1" customWidth="1"/>
    <col min="8741" max="8741" width="11.1796875" style="1" customWidth="1"/>
    <col min="8742" max="8743" width="0" style="1" hidden="1" customWidth="1"/>
    <col min="8744" max="8744" width="13" style="1" customWidth="1"/>
    <col min="8745" max="8747" width="0" style="1" hidden="1" customWidth="1"/>
    <col min="8748" max="8748" width="11.453125" style="1"/>
    <col min="8749" max="8749" width="12.453125" style="1" customWidth="1"/>
    <col min="8750" max="8751" width="10.7265625" style="1" customWidth="1"/>
    <col min="8752" max="8752" width="1.81640625" style="1" customWidth="1"/>
    <col min="8753" max="8753" width="2" style="1" customWidth="1"/>
    <col min="8754" max="8776" width="0" style="1" hidden="1" customWidth="1"/>
    <col min="8777" max="8777" width="13" style="1" customWidth="1"/>
    <col min="8778" max="8779" width="12.26953125" style="1" customWidth="1"/>
    <col min="8780" max="8960" width="11.453125" style="1"/>
    <col min="8961" max="8961" width="4.453125" style="1" customWidth="1"/>
    <col min="8962" max="8962" width="26.26953125" style="1" customWidth="1"/>
    <col min="8963" max="8963" width="8.26953125" style="1" customWidth="1"/>
    <col min="8964" max="8964" width="10.26953125" style="1" customWidth="1"/>
    <col min="8965" max="8965" width="11.1796875" style="1" customWidth="1"/>
    <col min="8966" max="8966" width="8.453125" style="1" customWidth="1"/>
    <col min="8967" max="8967" width="10.1796875" style="1" customWidth="1"/>
    <col min="8968" max="8968" width="10.54296875" style="1" customWidth="1"/>
    <col min="8969" max="8969" width="1.453125" style="1" customWidth="1"/>
    <col min="8970" max="8970" width="1.7265625" style="1" customWidth="1"/>
    <col min="8971" max="8976" width="0" style="1" hidden="1" customWidth="1"/>
    <col min="8977" max="8977" width="10.1796875" style="1" customWidth="1"/>
    <col min="8978" max="8981" width="0" style="1" hidden="1" customWidth="1"/>
    <col min="8982" max="8982" width="9.1796875" style="1" customWidth="1"/>
    <col min="8983" max="8983" width="11.90625" style="1" customWidth="1"/>
    <col min="8984" max="8984" width="1.453125" style="1" customWidth="1"/>
    <col min="8985" max="8985" width="1.7265625" style="1" customWidth="1"/>
    <col min="8986" max="8996" width="0" style="1" hidden="1" customWidth="1"/>
    <col min="8997" max="8997" width="11.1796875" style="1" customWidth="1"/>
    <col min="8998" max="8999" width="0" style="1" hidden="1" customWidth="1"/>
    <col min="9000" max="9000" width="13" style="1" customWidth="1"/>
    <col min="9001" max="9003" width="0" style="1" hidden="1" customWidth="1"/>
    <col min="9004" max="9004" width="11.453125" style="1"/>
    <col min="9005" max="9005" width="12.453125" style="1" customWidth="1"/>
    <col min="9006" max="9007" width="10.7265625" style="1" customWidth="1"/>
    <col min="9008" max="9008" width="1.81640625" style="1" customWidth="1"/>
    <col min="9009" max="9009" width="2" style="1" customWidth="1"/>
    <col min="9010" max="9032" width="0" style="1" hidden="1" customWidth="1"/>
    <col min="9033" max="9033" width="13" style="1" customWidth="1"/>
    <col min="9034" max="9035" width="12.26953125" style="1" customWidth="1"/>
    <col min="9036" max="9216" width="11.453125" style="1"/>
    <col min="9217" max="9217" width="4.453125" style="1" customWidth="1"/>
    <col min="9218" max="9218" width="26.26953125" style="1" customWidth="1"/>
    <col min="9219" max="9219" width="8.26953125" style="1" customWidth="1"/>
    <col min="9220" max="9220" width="10.26953125" style="1" customWidth="1"/>
    <col min="9221" max="9221" width="11.1796875" style="1" customWidth="1"/>
    <col min="9222" max="9222" width="8.453125" style="1" customWidth="1"/>
    <col min="9223" max="9223" width="10.1796875" style="1" customWidth="1"/>
    <col min="9224" max="9224" width="10.54296875" style="1" customWidth="1"/>
    <col min="9225" max="9225" width="1.453125" style="1" customWidth="1"/>
    <col min="9226" max="9226" width="1.7265625" style="1" customWidth="1"/>
    <col min="9227" max="9232" width="0" style="1" hidden="1" customWidth="1"/>
    <col min="9233" max="9233" width="10.1796875" style="1" customWidth="1"/>
    <col min="9234" max="9237" width="0" style="1" hidden="1" customWidth="1"/>
    <col min="9238" max="9238" width="9.1796875" style="1" customWidth="1"/>
    <col min="9239" max="9239" width="11.90625" style="1" customWidth="1"/>
    <col min="9240" max="9240" width="1.453125" style="1" customWidth="1"/>
    <col min="9241" max="9241" width="1.7265625" style="1" customWidth="1"/>
    <col min="9242" max="9252" width="0" style="1" hidden="1" customWidth="1"/>
    <col min="9253" max="9253" width="11.1796875" style="1" customWidth="1"/>
    <col min="9254" max="9255" width="0" style="1" hidden="1" customWidth="1"/>
    <col min="9256" max="9256" width="13" style="1" customWidth="1"/>
    <col min="9257" max="9259" width="0" style="1" hidden="1" customWidth="1"/>
    <col min="9260" max="9260" width="11.453125" style="1"/>
    <col min="9261" max="9261" width="12.453125" style="1" customWidth="1"/>
    <col min="9262" max="9263" width="10.7265625" style="1" customWidth="1"/>
    <col min="9264" max="9264" width="1.81640625" style="1" customWidth="1"/>
    <col min="9265" max="9265" width="2" style="1" customWidth="1"/>
    <col min="9266" max="9288" width="0" style="1" hidden="1" customWidth="1"/>
    <col min="9289" max="9289" width="13" style="1" customWidth="1"/>
    <col min="9290" max="9291" width="12.26953125" style="1" customWidth="1"/>
    <col min="9292" max="9472" width="11.453125" style="1"/>
    <col min="9473" max="9473" width="4.453125" style="1" customWidth="1"/>
    <col min="9474" max="9474" width="26.26953125" style="1" customWidth="1"/>
    <col min="9475" max="9475" width="8.26953125" style="1" customWidth="1"/>
    <col min="9476" max="9476" width="10.26953125" style="1" customWidth="1"/>
    <col min="9477" max="9477" width="11.1796875" style="1" customWidth="1"/>
    <col min="9478" max="9478" width="8.453125" style="1" customWidth="1"/>
    <col min="9479" max="9479" width="10.1796875" style="1" customWidth="1"/>
    <col min="9480" max="9480" width="10.54296875" style="1" customWidth="1"/>
    <col min="9481" max="9481" width="1.453125" style="1" customWidth="1"/>
    <col min="9482" max="9482" width="1.7265625" style="1" customWidth="1"/>
    <col min="9483" max="9488" width="0" style="1" hidden="1" customWidth="1"/>
    <col min="9489" max="9489" width="10.1796875" style="1" customWidth="1"/>
    <col min="9490" max="9493" width="0" style="1" hidden="1" customWidth="1"/>
    <col min="9494" max="9494" width="9.1796875" style="1" customWidth="1"/>
    <col min="9495" max="9495" width="11.90625" style="1" customWidth="1"/>
    <col min="9496" max="9496" width="1.453125" style="1" customWidth="1"/>
    <col min="9497" max="9497" width="1.7265625" style="1" customWidth="1"/>
    <col min="9498" max="9508" width="0" style="1" hidden="1" customWidth="1"/>
    <col min="9509" max="9509" width="11.1796875" style="1" customWidth="1"/>
    <col min="9510" max="9511" width="0" style="1" hidden="1" customWidth="1"/>
    <col min="9512" max="9512" width="13" style="1" customWidth="1"/>
    <col min="9513" max="9515" width="0" style="1" hidden="1" customWidth="1"/>
    <col min="9516" max="9516" width="11.453125" style="1"/>
    <col min="9517" max="9517" width="12.453125" style="1" customWidth="1"/>
    <col min="9518" max="9519" width="10.7265625" style="1" customWidth="1"/>
    <col min="9520" max="9520" width="1.81640625" style="1" customWidth="1"/>
    <col min="9521" max="9521" width="2" style="1" customWidth="1"/>
    <col min="9522" max="9544" width="0" style="1" hidden="1" customWidth="1"/>
    <col min="9545" max="9545" width="13" style="1" customWidth="1"/>
    <col min="9546" max="9547" width="12.26953125" style="1" customWidth="1"/>
    <col min="9548" max="9728" width="11.453125" style="1"/>
    <col min="9729" max="9729" width="4.453125" style="1" customWidth="1"/>
    <col min="9730" max="9730" width="26.26953125" style="1" customWidth="1"/>
    <col min="9731" max="9731" width="8.26953125" style="1" customWidth="1"/>
    <col min="9732" max="9732" width="10.26953125" style="1" customWidth="1"/>
    <col min="9733" max="9733" width="11.1796875" style="1" customWidth="1"/>
    <col min="9734" max="9734" width="8.453125" style="1" customWidth="1"/>
    <col min="9735" max="9735" width="10.1796875" style="1" customWidth="1"/>
    <col min="9736" max="9736" width="10.54296875" style="1" customWidth="1"/>
    <col min="9737" max="9737" width="1.453125" style="1" customWidth="1"/>
    <col min="9738" max="9738" width="1.7265625" style="1" customWidth="1"/>
    <col min="9739" max="9744" width="0" style="1" hidden="1" customWidth="1"/>
    <col min="9745" max="9745" width="10.1796875" style="1" customWidth="1"/>
    <col min="9746" max="9749" width="0" style="1" hidden="1" customWidth="1"/>
    <col min="9750" max="9750" width="9.1796875" style="1" customWidth="1"/>
    <col min="9751" max="9751" width="11.90625" style="1" customWidth="1"/>
    <col min="9752" max="9752" width="1.453125" style="1" customWidth="1"/>
    <col min="9753" max="9753" width="1.7265625" style="1" customWidth="1"/>
    <col min="9754" max="9764" width="0" style="1" hidden="1" customWidth="1"/>
    <col min="9765" max="9765" width="11.1796875" style="1" customWidth="1"/>
    <col min="9766" max="9767" width="0" style="1" hidden="1" customWidth="1"/>
    <col min="9768" max="9768" width="13" style="1" customWidth="1"/>
    <col min="9769" max="9771" width="0" style="1" hidden="1" customWidth="1"/>
    <col min="9772" max="9772" width="11.453125" style="1"/>
    <col min="9773" max="9773" width="12.453125" style="1" customWidth="1"/>
    <col min="9774" max="9775" width="10.7265625" style="1" customWidth="1"/>
    <col min="9776" max="9776" width="1.81640625" style="1" customWidth="1"/>
    <col min="9777" max="9777" width="2" style="1" customWidth="1"/>
    <col min="9778" max="9800" width="0" style="1" hidden="1" customWidth="1"/>
    <col min="9801" max="9801" width="13" style="1" customWidth="1"/>
    <col min="9802" max="9803" width="12.26953125" style="1" customWidth="1"/>
    <col min="9804" max="9984" width="11.453125" style="1"/>
    <col min="9985" max="9985" width="4.453125" style="1" customWidth="1"/>
    <col min="9986" max="9986" width="26.26953125" style="1" customWidth="1"/>
    <col min="9987" max="9987" width="8.26953125" style="1" customWidth="1"/>
    <col min="9988" max="9988" width="10.26953125" style="1" customWidth="1"/>
    <col min="9989" max="9989" width="11.1796875" style="1" customWidth="1"/>
    <col min="9990" max="9990" width="8.453125" style="1" customWidth="1"/>
    <col min="9991" max="9991" width="10.1796875" style="1" customWidth="1"/>
    <col min="9992" max="9992" width="10.54296875" style="1" customWidth="1"/>
    <col min="9993" max="9993" width="1.453125" style="1" customWidth="1"/>
    <col min="9994" max="9994" width="1.7265625" style="1" customWidth="1"/>
    <col min="9995" max="10000" width="0" style="1" hidden="1" customWidth="1"/>
    <col min="10001" max="10001" width="10.1796875" style="1" customWidth="1"/>
    <col min="10002" max="10005" width="0" style="1" hidden="1" customWidth="1"/>
    <col min="10006" max="10006" width="9.1796875" style="1" customWidth="1"/>
    <col min="10007" max="10007" width="11.90625" style="1" customWidth="1"/>
    <col min="10008" max="10008" width="1.453125" style="1" customWidth="1"/>
    <col min="10009" max="10009" width="1.7265625" style="1" customWidth="1"/>
    <col min="10010" max="10020" width="0" style="1" hidden="1" customWidth="1"/>
    <col min="10021" max="10021" width="11.1796875" style="1" customWidth="1"/>
    <col min="10022" max="10023" width="0" style="1" hidden="1" customWidth="1"/>
    <col min="10024" max="10024" width="13" style="1" customWidth="1"/>
    <col min="10025" max="10027" width="0" style="1" hidden="1" customWidth="1"/>
    <col min="10028" max="10028" width="11.453125" style="1"/>
    <col min="10029" max="10029" width="12.453125" style="1" customWidth="1"/>
    <col min="10030" max="10031" width="10.7265625" style="1" customWidth="1"/>
    <col min="10032" max="10032" width="1.81640625" style="1" customWidth="1"/>
    <col min="10033" max="10033" width="2" style="1" customWidth="1"/>
    <col min="10034" max="10056" width="0" style="1" hidden="1" customWidth="1"/>
    <col min="10057" max="10057" width="13" style="1" customWidth="1"/>
    <col min="10058" max="10059" width="12.26953125" style="1" customWidth="1"/>
    <col min="10060" max="10240" width="11.453125" style="1"/>
    <col min="10241" max="10241" width="4.453125" style="1" customWidth="1"/>
    <col min="10242" max="10242" width="26.26953125" style="1" customWidth="1"/>
    <col min="10243" max="10243" width="8.26953125" style="1" customWidth="1"/>
    <col min="10244" max="10244" width="10.26953125" style="1" customWidth="1"/>
    <col min="10245" max="10245" width="11.1796875" style="1" customWidth="1"/>
    <col min="10246" max="10246" width="8.453125" style="1" customWidth="1"/>
    <col min="10247" max="10247" width="10.1796875" style="1" customWidth="1"/>
    <col min="10248" max="10248" width="10.54296875" style="1" customWidth="1"/>
    <col min="10249" max="10249" width="1.453125" style="1" customWidth="1"/>
    <col min="10250" max="10250" width="1.7265625" style="1" customWidth="1"/>
    <col min="10251" max="10256" width="0" style="1" hidden="1" customWidth="1"/>
    <col min="10257" max="10257" width="10.1796875" style="1" customWidth="1"/>
    <col min="10258" max="10261" width="0" style="1" hidden="1" customWidth="1"/>
    <col min="10262" max="10262" width="9.1796875" style="1" customWidth="1"/>
    <col min="10263" max="10263" width="11.90625" style="1" customWidth="1"/>
    <col min="10264" max="10264" width="1.453125" style="1" customWidth="1"/>
    <col min="10265" max="10265" width="1.7265625" style="1" customWidth="1"/>
    <col min="10266" max="10276" width="0" style="1" hidden="1" customWidth="1"/>
    <col min="10277" max="10277" width="11.1796875" style="1" customWidth="1"/>
    <col min="10278" max="10279" width="0" style="1" hidden="1" customWidth="1"/>
    <col min="10280" max="10280" width="13" style="1" customWidth="1"/>
    <col min="10281" max="10283" width="0" style="1" hidden="1" customWidth="1"/>
    <col min="10284" max="10284" width="11.453125" style="1"/>
    <col min="10285" max="10285" width="12.453125" style="1" customWidth="1"/>
    <col min="10286" max="10287" width="10.7265625" style="1" customWidth="1"/>
    <col min="10288" max="10288" width="1.81640625" style="1" customWidth="1"/>
    <col min="10289" max="10289" width="2" style="1" customWidth="1"/>
    <col min="10290" max="10312" width="0" style="1" hidden="1" customWidth="1"/>
    <col min="10313" max="10313" width="13" style="1" customWidth="1"/>
    <col min="10314" max="10315" width="12.26953125" style="1" customWidth="1"/>
    <col min="10316" max="10496" width="11.453125" style="1"/>
    <col min="10497" max="10497" width="4.453125" style="1" customWidth="1"/>
    <col min="10498" max="10498" width="26.26953125" style="1" customWidth="1"/>
    <col min="10499" max="10499" width="8.26953125" style="1" customWidth="1"/>
    <col min="10500" max="10500" width="10.26953125" style="1" customWidth="1"/>
    <col min="10501" max="10501" width="11.1796875" style="1" customWidth="1"/>
    <col min="10502" max="10502" width="8.453125" style="1" customWidth="1"/>
    <col min="10503" max="10503" width="10.1796875" style="1" customWidth="1"/>
    <col min="10504" max="10504" width="10.54296875" style="1" customWidth="1"/>
    <col min="10505" max="10505" width="1.453125" style="1" customWidth="1"/>
    <col min="10506" max="10506" width="1.7265625" style="1" customWidth="1"/>
    <col min="10507" max="10512" width="0" style="1" hidden="1" customWidth="1"/>
    <col min="10513" max="10513" width="10.1796875" style="1" customWidth="1"/>
    <col min="10514" max="10517" width="0" style="1" hidden="1" customWidth="1"/>
    <col min="10518" max="10518" width="9.1796875" style="1" customWidth="1"/>
    <col min="10519" max="10519" width="11.90625" style="1" customWidth="1"/>
    <col min="10520" max="10520" width="1.453125" style="1" customWidth="1"/>
    <col min="10521" max="10521" width="1.7265625" style="1" customWidth="1"/>
    <col min="10522" max="10532" width="0" style="1" hidden="1" customWidth="1"/>
    <col min="10533" max="10533" width="11.1796875" style="1" customWidth="1"/>
    <col min="10534" max="10535" width="0" style="1" hidden="1" customWidth="1"/>
    <col min="10536" max="10536" width="13" style="1" customWidth="1"/>
    <col min="10537" max="10539" width="0" style="1" hidden="1" customWidth="1"/>
    <col min="10540" max="10540" width="11.453125" style="1"/>
    <col min="10541" max="10541" width="12.453125" style="1" customWidth="1"/>
    <col min="10542" max="10543" width="10.7265625" style="1" customWidth="1"/>
    <col min="10544" max="10544" width="1.81640625" style="1" customWidth="1"/>
    <col min="10545" max="10545" width="2" style="1" customWidth="1"/>
    <col min="10546" max="10568" width="0" style="1" hidden="1" customWidth="1"/>
    <col min="10569" max="10569" width="13" style="1" customWidth="1"/>
    <col min="10570" max="10571" width="12.26953125" style="1" customWidth="1"/>
    <col min="10572" max="10752" width="11.453125" style="1"/>
    <col min="10753" max="10753" width="4.453125" style="1" customWidth="1"/>
    <col min="10754" max="10754" width="26.26953125" style="1" customWidth="1"/>
    <col min="10755" max="10755" width="8.26953125" style="1" customWidth="1"/>
    <col min="10756" max="10756" width="10.26953125" style="1" customWidth="1"/>
    <col min="10757" max="10757" width="11.1796875" style="1" customWidth="1"/>
    <col min="10758" max="10758" width="8.453125" style="1" customWidth="1"/>
    <col min="10759" max="10759" width="10.1796875" style="1" customWidth="1"/>
    <col min="10760" max="10760" width="10.54296875" style="1" customWidth="1"/>
    <col min="10761" max="10761" width="1.453125" style="1" customWidth="1"/>
    <col min="10762" max="10762" width="1.7265625" style="1" customWidth="1"/>
    <col min="10763" max="10768" width="0" style="1" hidden="1" customWidth="1"/>
    <col min="10769" max="10769" width="10.1796875" style="1" customWidth="1"/>
    <col min="10770" max="10773" width="0" style="1" hidden="1" customWidth="1"/>
    <col min="10774" max="10774" width="9.1796875" style="1" customWidth="1"/>
    <col min="10775" max="10775" width="11.90625" style="1" customWidth="1"/>
    <col min="10776" max="10776" width="1.453125" style="1" customWidth="1"/>
    <col min="10777" max="10777" width="1.7265625" style="1" customWidth="1"/>
    <col min="10778" max="10788" width="0" style="1" hidden="1" customWidth="1"/>
    <col min="10789" max="10789" width="11.1796875" style="1" customWidth="1"/>
    <col min="10790" max="10791" width="0" style="1" hidden="1" customWidth="1"/>
    <col min="10792" max="10792" width="13" style="1" customWidth="1"/>
    <col min="10793" max="10795" width="0" style="1" hidden="1" customWidth="1"/>
    <col min="10796" max="10796" width="11.453125" style="1"/>
    <col min="10797" max="10797" width="12.453125" style="1" customWidth="1"/>
    <col min="10798" max="10799" width="10.7265625" style="1" customWidth="1"/>
    <col min="10800" max="10800" width="1.81640625" style="1" customWidth="1"/>
    <col min="10801" max="10801" width="2" style="1" customWidth="1"/>
    <col min="10802" max="10824" width="0" style="1" hidden="1" customWidth="1"/>
    <col min="10825" max="10825" width="13" style="1" customWidth="1"/>
    <col min="10826" max="10827" width="12.26953125" style="1" customWidth="1"/>
    <col min="10828" max="11008" width="11.453125" style="1"/>
    <col min="11009" max="11009" width="4.453125" style="1" customWidth="1"/>
    <col min="11010" max="11010" width="26.26953125" style="1" customWidth="1"/>
    <col min="11011" max="11011" width="8.26953125" style="1" customWidth="1"/>
    <col min="11012" max="11012" width="10.26953125" style="1" customWidth="1"/>
    <col min="11013" max="11013" width="11.1796875" style="1" customWidth="1"/>
    <col min="11014" max="11014" width="8.453125" style="1" customWidth="1"/>
    <col min="11015" max="11015" width="10.1796875" style="1" customWidth="1"/>
    <col min="11016" max="11016" width="10.54296875" style="1" customWidth="1"/>
    <col min="11017" max="11017" width="1.453125" style="1" customWidth="1"/>
    <col min="11018" max="11018" width="1.7265625" style="1" customWidth="1"/>
    <col min="11019" max="11024" width="0" style="1" hidden="1" customWidth="1"/>
    <col min="11025" max="11025" width="10.1796875" style="1" customWidth="1"/>
    <col min="11026" max="11029" width="0" style="1" hidden="1" customWidth="1"/>
    <col min="11030" max="11030" width="9.1796875" style="1" customWidth="1"/>
    <col min="11031" max="11031" width="11.90625" style="1" customWidth="1"/>
    <col min="11032" max="11032" width="1.453125" style="1" customWidth="1"/>
    <col min="11033" max="11033" width="1.7265625" style="1" customWidth="1"/>
    <col min="11034" max="11044" width="0" style="1" hidden="1" customWidth="1"/>
    <col min="11045" max="11045" width="11.1796875" style="1" customWidth="1"/>
    <col min="11046" max="11047" width="0" style="1" hidden="1" customWidth="1"/>
    <col min="11048" max="11048" width="13" style="1" customWidth="1"/>
    <col min="11049" max="11051" width="0" style="1" hidden="1" customWidth="1"/>
    <col min="11052" max="11052" width="11.453125" style="1"/>
    <col min="11053" max="11053" width="12.453125" style="1" customWidth="1"/>
    <col min="11054" max="11055" width="10.7265625" style="1" customWidth="1"/>
    <col min="11056" max="11056" width="1.81640625" style="1" customWidth="1"/>
    <col min="11057" max="11057" width="2" style="1" customWidth="1"/>
    <col min="11058" max="11080" width="0" style="1" hidden="1" customWidth="1"/>
    <col min="11081" max="11081" width="13" style="1" customWidth="1"/>
    <col min="11082" max="11083" width="12.26953125" style="1" customWidth="1"/>
    <col min="11084" max="11264" width="11.453125" style="1"/>
    <col min="11265" max="11265" width="4.453125" style="1" customWidth="1"/>
    <col min="11266" max="11266" width="26.26953125" style="1" customWidth="1"/>
    <col min="11267" max="11267" width="8.26953125" style="1" customWidth="1"/>
    <col min="11268" max="11268" width="10.26953125" style="1" customWidth="1"/>
    <col min="11269" max="11269" width="11.1796875" style="1" customWidth="1"/>
    <col min="11270" max="11270" width="8.453125" style="1" customWidth="1"/>
    <col min="11271" max="11271" width="10.1796875" style="1" customWidth="1"/>
    <col min="11272" max="11272" width="10.54296875" style="1" customWidth="1"/>
    <col min="11273" max="11273" width="1.453125" style="1" customWidth="1"/>
    <col min="11274" max="11274" width="1.7265625" style="1" customWidth="1"/>
    <col min="11275" max="11280" width="0" style="1" hidden="1" customWidth="1"/>
    <col min="11281" max="11281" width="10.1796875" style="1" customWidth="1"/>
    <col min="11282" max="11285" width="0" style="1" hidden="1" customWidth="1"/>
    <col min="11286" max="11286" width="9.1796875" style="1" customWidth="1"/>
    <col min="11287" max="11287" width="11.90625" style="1" customWidth="1"/>
    <col min="11288" max="11288" width="1.453125" style="1" customWidth="1"/>
    <col min="11289" max="11289" width="1.7265625" style="1" customWidth="1"/>
    <col min="11290" max="11300" width="0" style="1" hidden="1" customWidth="1"/>
    <col min="11301" max="11301" width="11.1796875" style="1" customWidth="1"/>
    <col min="11302" max="11303" width="0" style="1" hidden="1" customWidth="1"/>
    <col min="11304" max="11304" width="13" style="1" customWidth="1"/>
    <col min="11305" max="11307" width="0" style="1" hidden="1" customWidth="1"/>
    <col min="11308" max="11308" width="11.453125" style="1"/>
    <col min="11309" max="11309" width="12.453125" style="1" customWidth="1"/>
    <col min="11310" max="11311" width="10.7265625" style="1" customWidth="1"/>
    <col min="11312" max="11312" width="1.81640625" style="1" customWidth="1"/>
    <col min="11313" max="11313" width="2" style="1" customWidth="1"/>
    <col min="11314" max="11336" width="0" style="1" hidden="1" customWidth="1"/>
    <col min="11337" max="11337" width="13" style="1" customWidth="1"/>
    <col min="11338" max="11339" width="12.26953125" style="1" customWidth="1"/>
    <col min="11340" max="11520" width="11.453125" style="1"/>
    <col min="11521" max="11521" width="4.453125" style="1" customWidth="1"/>
    <col min="11522" max="11522" width="26.26953125" style="1" customWidth="1"/>
    <col min="11523" max="11523" width="8.26953125" style="1" customWidth="1"/>
    <col min="11524" max="11524" width="10.26953125" style="1" customWidth="1"/>
    <col min="11525" max="11525" width="11.1796875" style="1" customWidth="1"/>
    <col min="11526" max="11526" width="8.453125" style="1" customWidth="1"/>
    <col min="11527" max="11527" width="10.1796875" style="1" customWidth="1"/>
    <col min="11528" max="11528" width="10.54296875" style="1" customWidth="1"/>
    <col min="11529" max="11529" width="1.453125" style="1" customWidth="1"/>
    <col min="11530" max="11530" width="1.7265625" style="1" customWidth="1"/>
    <col min="11531" max="11536" width="0" style="1" hidden="1" customWidth="1"/>
    <col min="11537" max="11537" width="10.1796875" style="1" customWidth="1"/>
    <col min="11538" max="11541" width="0" style="1" hidden="1" customWidth="1"/>
    <col min="11542" max="11542" width="9.1796875" style="1" customWidth="1"/>
    <col min="11543" max="11543" width="11.90625" style="1" customWidth="1"/>
    <col min="11544" max="11544" width="1.453125" style="1" customWidth="1"/>
    <col min="11545" max="11545" width="1.7265625" style="1" customWidth="1"/>
    <col min="11546" max="11556" width="0" style="1" hidden="1" customWidth="1"/>
    <col min="11557" max="11557" width="11.1796875" style="1" customWidth="1"/>
    <col min="11558" max="11559" width="0" style="1" hidden="1" customWidth="1"/>
    <col min="11560" max="11560" width="13" style="1" customWidth="1"/>
    <col min="11561" max="11563" width="0" style="1" hidden="1" customWidth="1"/>
    <col min="11564" max="11564" width="11.453125" style="1"/>
    <col min="11565" max="11565" width="12.453125" style="1" customWidth="1"/>
    <col min="11566" max="11567" width="10.7265625" style="1" customWidth="1"/>
    <col min="11568" max="11568" width="1.81640625" style="1" customWidth="1"/>
    <col min="11569" max="11569" width="2" style="1" customWidth="1"/>
    <col min="11570" max="11592" width="0" style="1" hidden="1" customWidth="1"/>
    <col min="11593" max="11593" width="13" style="1" customWidth="1"/>
    <col min="11594" max="11595" width="12.26953125" style="1" customWidth="1"/>
    <col min="11596" max="11776" width="11.453125" style="1"/>
    <col min="11777" max="11777" width="4.453125" style="1" customWidth="1"/>
    <col min="11778" max="11778" width="26.26953125" style="1" customWidth="1"/>
    <col min="11779" max="11779" width="8.26953125" style="1" customWidth="1"/>
    <col min="11780" max="11780" width="10.26953125" style="1" customWidth="1"/>
    <col min="11781" max="11781" width="11.1796875" style="1" customWidth="1"/>
    <col min="11782" max="11782" width="8.453125" style="1" customWidth="1"/>
    <col min="11783" max="11783" width="10.1796875" style="1" customWidth="1"/>
    <col min="11784" max="11784" width="10.54296875" style="1" customWidth="1"/>
    <col min="11785" max="11785" width="1.453125" style="1" customWidth="1"/>
    <col min="11786" max="11786" width="1.7265625" style="1" customWidth="1"/>
    <col min="11787" max="11792" width="0" style="1" hidden="1" customWidth="1"/>
    <col min="11793" max="11793" width="10.1796875" style="1" customWidth="1"/>
    <col min="11794" max="11797" width="0" style="1" hidden="1" customWidth="1"/>
    <col min="11798" max="11798" width="9.1796875" style="1" customWidth="1"/>
    <col min="11799" max="11799" width="11.90625" style="1" customWidth="1"/>
    <col min="11800" max="11800" width="1.453125" style="1" customWidth="1"/>
    <col min="11801" max="11801" width="1.7265625" style="1" customWidth="1"/>
    <col min="11802" max="11812" width="0" style="1" hidden="1" customWidth="1"/>
    <col min="11813" max="11813" width="11.1796875" style="1" customWidth="1"/>
    <col min="11814" max="11815" width="0" style="1" hidden="1" customWidth="1"/>
    <col min="11816" max="11816" width="13" style="1" customWidth="1"/>
    <col min="11817" max="11819" width="0" style="1" hidden="1" customWidth="1"/>
    <col min="11820" max="11820" width="11.453125" style="1"/>
    <col min="11821" max="11821" width="12.453125" style="1" customWidth="1"/>
    <col min="11822" max="11823" width="10.7265625" style="1" customWidth="1"/>
    <col min="11824" max="11824" width="1.81640625" style="1" customWidth="1"/>
    <col min="11825" max="11825" width="2" style="1" customWidth="1"/>
    <col min="11826" max="11848" width="0" style="1" hidden="1" customWidth="1"/>
    <col min="11849" max="11849" width="13" style="1" customWidth="1"/>
    <col min="11850" max="11851" width="12.26953125" style="1" customWidth="1"/>
    <col min="11852" max="12032" width="11.453125" style="1"/>
    <col min="12033" max="12033" width="4.453125" style="1" customWidth="1"/>
    <col min="12034" max="12034" width="26.26953125" style="1" customWidth="1"/>
    <col min="12035" max="12035" width="8.26953125" style="1" customWidth="1"/>
    <col min="12036" max="12036" width="10.26953125" style="1" customWidth="1"/>
    <col min="12037" max="12037" width="11.1796875" style="1" customWidth="1"/>
    <col min="12038" max="12038" width="8.453125" style="1" customWidth="1"/>
    <col min="12039" max="12039" width="10.1796875" style="1" customWidth="1"/>
    <col min="12040" max="12040" width="10.54296875" style="1" customWidth="1"/>
    <col min="12041" max="12041" width="1.453125" style="1" customWidth="1"/>
    <col min="12042" max="12042" width="1.7265625" style="1" customWidth="1"/>
    <col min="12043" max="12048" width="0" style="1" hidden="1" customWidth="1"/>
    <col min="12049" max="12049" width="10.1796875" style="1" customWidth="1"/>
    <col min="12050" max="12053" width="0" style="1" hidden="1" customWidth="1"/>
    <col min="12054" max="12054" width="9.1796875" style="1" customWidth="1"/>
    <col min="12055" max="12055" width="11.90625" style="1" customWidth="1"/>
    <col min="12056" max="12056" width="1.453125" style="1" customWidth="1"/>
    <col min="12057" max="12057" width="1.7265625" style="1" customWidth="1"/>
    <col min="12058" max="12068" width="0" style="1" hidden="1" customWidth="1"/>
    <col min="12069" max="12069" width="11.1796875" style="1" customWidth="1"/>
    <col min="12070" max="12071" width="0" style="1" hidden="1" customWidth="1"/>
    <col min="12072" max="12072" width="13" style="1" customWidth="1"/>
    <col min="12073" max="12075" width="0" style="1" hidden="1" customWidth="1"/>
    <col min="12076" max="12076" width="11.453125" style="1"/>
    <col min="12077" max="12077" width="12.453125" style="1" customWidth="1"/>
    <col min="12078" max="12079" width="10.7265625" style="1" customWidth="1"/>
    <col min="12080" max="12080" width="1.81640625" style="1" customWidth="1"/>
    <col min="12081" max="12081" width="2" style="1" customWidth="1"/>
    <col min="12082" max="12104" width="0" style="1" hidden="1" customWidth="1"/>
    <col min="12105" max="12105" width="13" style="1" customWidth="1"/>
    <col min="12106" max="12107" width="12.26953125" style="1" customWidth="1"/>
    <col min="12108" max="12288" width="11.453125" style="1"/>
    <col min="12289" max="12289" width="4.453125" style="1" customWidth="1"/>
    <col min="12290" max="12290" width="26.26953125" style="1" customWidth="1"/>
    <col min="12291" max="12291" width="8.26953125" style="1" customWidth="1"/>
    <col min="12292" max="12292" width="10.26953125" style="1" customWidth="1"/>
    <col min="12293" max="12293" width="11.1796875" style="1" customWidth="1"/>
    <col min="12294" max="12294" width="8.453125" style="1" customWidth="1"/>
    <col min="12295" max="12295" width="10.1796875" style="1" customWidth="1"/>
    <col min="12296" max="12296" width="10.54296875" style="1" customWidth="1"/>
    <col min="12297" max="12297" width="1.453125" style="1" customWidth="1"/>
    <col min="12298" max="12298" width="1.7265625" style="1" customWidth="1"/>
    <col min="12299" max="12304" width="0" style="1" hidden="1" customWidth="1"/>
    <col min="12305" max="12305" width="10.1796875" style="1" customWidth="1"/>
    <col min="12306" max="12309" width="0" style="1" hidden="1" customWidth="1"/>
    <col min="12310" max="12310" width="9.1796875" style="1" customWidth="1"/>
    <col min="12311" max="12311" width="11.90625" style="1" customWidth="1"/>
    <col min="12312" max="12312" width="1.453125" style="1" customWidth="1"/>
    <col min="12313" max="12313" width="1.7265625" style="1" customWidth="1"/>
    <col min="12314" max="12324" width="0" style="1" hidden="1" customWidth="1"/>
    <col min="12325" max="12325" width="11.1796875" style="1" customWidth="1"/>
    <col min="12326" max="12327" width="0" style="1" hidden="1" customWidth="1"/>
    <col min="12328" max="12328" width="13" style="1" customWidth="1"/>
    <col min="12329" max="12331" width="0" style="1" hidden="1" customWidth="1"/>
    <col min="12332" max="12332" width="11.453125" style="1"/>
    <col min="12333" max="12333" width="12.453125" style="1" customWidth="1"/>
    <col min="12334" max="12335" width="10.7265625" style="1" customWidth="1"/>
    <col min="12336" max="12336" width="1.81640625" style="1" customWidth="1"/>
    <col min="12337" max="12337" width="2" style="1" customWidth="1"/>
    <col min="12338" max="12360" width="0" style="1" hidden="1" customWidth="1"/>
    <col min="12361" max="12361" width="13" style="1" customWidth="1"/>
    <col min="12362" max="12363" width="12.26953125" style="1" customWidth="1"/>
    <col min="12364" max="12544" width="11.453125" style="1"/>
    <col min="12545" max="12545" width="4.453125" style="1" customWidth="1"/>
    <col min="12546" max="12546" width="26.26953125" style="1" customWidth="1"/>
    <col min="12547" max="12547" width="8.26953125" style="1" customWidth="1"/>
    <col min="12548" max="12548" width="10.26953125" style="1" customWidth="1"/>
    <col min="12549" max="12549" width="11.1796875" style="1" customWidth="1"/>
    <col min="12550" max="12550" width="8.453125" style="1" customWidth="1"/>
    <col min="12551" max="12551" width="10.1796875" style="1" customWidth="1"/>
    <col min="12552" max="12552" width="10.54296875" style="1" customWidth="1"/>
    <col min="12553" max="12553" width="1.453125" style="1" customWidth="1"/>
    <col min="12554" max="12554" width="1.7265625" style="1" customWidth="1"/>
    <col min="12555" max="12560" width="0" style="1" hidden="1" customWidth="1"/>
    <col min="12561" max="12561" width="10.1796875" style="1" customWidth="1"/>
    <col min="12562" max="12565" width="0" style="1" hidden="1" customWidth="1"/>
    <col min="12566" max="12566" width="9.1796875" style="1" customWidth="1"/>
    <col min="12567" max="12567" width="11.90625" style="1" customWidth="1"/>
    <col min="12568" max="12568" width="1.453125" style="1" customWidth="1"/>
    <col min="12569" max="12569" width="1.7265625" style="1" customWidth="1"/>
    <col min="12570" max="12580" width="0" style="1" hidden="1" customWidth="1"/>
    <col min="12581" max="12581" width="11.1796875" style="1" customWidth="1"/>
    <col min="12582" max="12583" width="0" style="1" hidden="1" customWidth="1"/>
    <col min="12584" max="12584" width="13" style="1" customWidth="1"/>
    <col min="12585" max="12587" width="0" style="1" hidden="1" customWidth="1"/>
    <col min="12588" max="12588" width="11.453125" style="1"/>
    <col min="12589" max="12589" width="12.453125" style="1" customWidth="1"/>
    <col min="12590" max="12591" width="10.7265625" style="1" customWidth="1"/>
    <col min="12592" max="12592" width="1.81640625" style="1" customWidth="1"/>
    <col min="12593" max="12593" width="2" style="1" customWidth="1"/>
    <col min="12594" max="12616" width="0" style="1" hidden="1" customWidth="1"/>
    <col min="12617" max="12617" width="13" style="1" customWidth="1"/>
    <col min="12618" max="12619" width="12.26953125" style="1" customWidth="1"/>
    <col min="12620" max="12800" width="11.453125" style="1"/>
    <col min="12801" max="12801" width="4.453125" style="1" customWidth="1"/>
    <col min="12802" max="12802" width="26.26953125" style="1" customWidth="1"/>
    <col min="12803" max="12803" width="8.26953125" style="1" customWidth="1"/>
    <col min="12804" max="12804" width="10.26953125" style="1" customWidth="1"/>
    <col min="12805" max="12805" width="11.1796875" style="1" customWidth="1"/>
    <col min="12806" max="12806" width="8.453125" style="1" customWidth="1"/>
    <col min="12807" max="12807" width="10.1796875" style="1" customWidth="1"/>
    <col min="12808" max="12808" width="10.54296875" style="1" customWidth="1"/>
    <col min="12809" max="12809" width="1.453125" style="1" customWidth="1"/>
    <col min="12810" max="12810" width="1.7265625" style="1" customWidth="1"/>
    <col min="12811" max="12816" width="0" style="1" hidden="1" customWidth="1"/>
    <col min="12817" max="12817" width="10.1796875" style="1" customWidth="1"/>
    <col min="12818" max="12821" width="0" style="1" hidden="1" customWidth="1"/>
    <col min="12822" max="12822" width="9.1796875" style="1" customWidth="1"/>
    <col min="12823" max="12823" width="11.90625" style="1" customWidth="1"/>
    <col min="12824" max="12824" width="1.453125" style="1" customWidth="1"/>
    <col min="12825" max="12825" width="1.7265625" style="1" customWidth="1"/>
    <col min="12826" max="12836" width="0" style="1" hidden="1" customWidth="1"/>
    <col min="12837" max="12837" width="11.1796875" style="1" customWidth="1"/>
    <col min="12838" max="12839" width="0" style="1" hidden="1" customWidth="1"/>
    <col min="12840" max="12840" width="13" style="1" customWidth="1"/>
    <col min="12841" max="12843" width="0" style="1" hidden="1" customWidth="1"/>
    <col min="12844" max="12844" width="11.453125" style="1"/>
    <col min="12845" max="12845" width="12.453125" style="1" customWidth="1"/>
    <col min="12846" max="12847" width="10.7265625" style="1" customWidth="1"/>
    <col min="12848" max="12848" width="1.81640625" style="1" customWidth="1"/>
    <col min="12849" max="12849" width="2" style="1" customWidth="1"/>
    <col min="12850" max="12872" width="0" style="1" hidden="1" customWidth="1"/>
    <col min="12873" max="12873" width="13" style="1" customWidth="1"/>
    <col min="12874" max="12875" width="12.26953125" style="1" customWidth="1"/>
    <col min="12876" max="13056" width="11.453125" style="1"/>
    <col min="13057" max="13057" width="4.453125" style="1" customWidth="1"/>
    <col min="13058" max="13058" width="26.26953125" style="1" customWidth="1"/>
    <col min="13059" max="13059" width="8.26953125" style="1" customWidth="1"/>
    <col min="13060" max="13060" width="10.26953125" style="1" customWidth="1"/>
    <col min="13061" max="13061" width="11.1796875" style="1" customWidth="1"/>
    <col min="13062" max="13062" width="8.453125" style="1" customWidth="1"/>
    <col min="13063" max="13063" width="10.1796875" style="1" customWidth="1"/>
    <col min="13064" max="13064" width="10.54296875" style="1" customWidth="1"/>
    <col min="13065" max="13065" width="1.453125" style="1" customWidth="1"/>
    <col min="13066" max="13066" width="1.7265625" style="1" customWidth="1"/>
    <col min="13067" max="13072" width="0" style="1" hidden="1" customWidth="1"/>
    <col min="13073" max="13073" width="10.1796875" style="1" customWidth="1"/>
    <col min="13074" max="13077" width="0" style="1" hidden="1" customWidth="1"/>
    <col min="13078" max="13078" width="9.1796875" style="1" customWidth="1"/>
    <col min="13079" max="13079" width="11.90625" style="1" customWidth="1"/>
    <col min="13080" max="13080" width="1.453125" style="1" customWidth="1"/>
    <col min="13081" max="13081" width="1.7265625" style="1" customWidth="1"/>
    <col min="13082" max="13092" width="0" style="1" hidden="1" customWidth="1"/>
    <col min="13093" max="13093" width="11.1796875" style="1" customWidth="1"/>
    <col min="13094" max="13095" width="0" style="1" hidden="1" customWidth="1"/>
    <col min="13096" max="13096" width="13" style="1" customWidth="1"/>
    <col min="13097" max="13099" width="0" style="1" hidden="1" customWidth="1"/>
    <col min="13100" max="13100" width="11.453125" style="1"/>
    <col min="13101" max="13101" width="12.453125" style="1" customWidth="1"/>
    <col min="13102" max="13103" width="10.7265625" style="1" customWidth="1"/>
    <col min="13104" max="13104" width="1.81640625" style="1" customWidth="1"/>
    <col min="13105" max="13105" width="2" style="1" customWidth="1"/>
    <col min="13106" max="13128" width="0" style="1" hidden="1" customWidth="1"/>
    <col min="13129" max="13129" width="13" style="1" customWidth="1"/>
    <col min="13130" max="13131" width="12.26953125" style="1" customWidth="1"/>
    <col min="13132" max="13312" width="11.453125" style="1"/>
    <col min="13313" max="13313" width="4.453125" style="1" customWidth="1"/>
    <col min="13314" max="13314" width="26.26953125" style="1" customWidth="1"/>
    <col min="13315" max="13315" width="8.26953125" style="1" customWidth="1"/>
    <col min="13316" max="13316" width="10.26953125" style="1" customWidth="1"/>
    <col min="13317" max="13317" width="11.1796875" style="1" customWidth="1"/>
    <col min="13318" max="13318" width="8.453125" style="1" customWidth="1"/>
    <col min="13319" max="13319" width="10.1796875" style="1" customWidth="1"/>
    <col min="13320" max="13320" width="10.54296875" style="1" customWidth="1"/>
    <col min="13321" max="13321" width="1.453125" style="1" customWidth="1"/>
    <col min="13322" max="13322" width="1.7265625" style="1" customWidth="1"/>
    <col min="13323" max="13328" width="0" style="1" hidden="1" customWidth="1"/>
    <col min="13329" max="13329" width="10.1796875" style="1" customWidth="1"/>
    <col min="13330" max="13333" width="0" style="1" hidden="1" customWidth="1"/>
    <col min="13334" max="13334" width="9.1796875" style="1" customWidth="1"/>
    <col min="13335" max="13335" width="11.90625" style="1" customWidth="1"/>
    <col min="13336" max="13336" width="1.453125" style="1" customWidth="1"/>
    <col min="13337" max="13337" width="1.7265625" style="1" customWidth="1"/>
    <col min="13338" max="13348" width="0" style="1" hidden="1" customWidth="1"/>
    <col min="13349" max="13349" width="11.1796875" style="1" customWidth="1"/>
    <col min="13350" max="13351" width="0" style="1" hidden="1" customWidth="1"/>
    <col min="13352" max="13352" width="13" style="1" customWidth="1"/>
    <col min="13353" max="13355" width="0" style="1" hidden="1" customWidth="1"/>
    <col min="13356" max="13356" width="11.453125" style="1"/>
    <col min="13357" max="13357" width="12.453125" style="1" customWidth="1"/>
    <col min="13358" max="13359" width="10.7265625" style="1" customWidth="1"/>
    <col min="13360" max="13360" width="1.81640625" style="1" customWidth="1"/>
    <col min="13361" max="13361" width="2" style="1" customWidth="1"/>
    <col min="13362" max="13384" width="0" style="1" hidden="1" customWidth="1"/>
    <col min="13385" max="13385" width="13" style="1" customWidth="1"/>
    <col min="13386" max="13387" width="12.26953125" style="1" customWidth="1"/>
    <col min="13388" max="13568" width="11.453125" style="1"/>
    <col min="13569" max="13569" width="4.453125" style="1" customWidth="1"/>
    <col min="13570" max="13570" width="26.26953125" style="1" customWidth="1"/>
    <col min="13571" max="13571" width="8.26953125" style="1" customWidth="1"/>
    <col min="13572" max="13572" width="10.26953125" style="1" customWidth="1"/>
    <col min="13573" max="13573" width="11.1796875" style="1" customWidth="1"/>
    <col min="13574" max="13574" width="8.453125" style="1" customWidth="1"/>
    <col min="13575" max="13575" width="10.1796875" style="1" customWidth="1"/>
    <col min="13576" max="13576" width="10.54296875" style="1" customWidth="1"/>
    <col min="13577" max="13577" width="1.453125" style="1" customWidth="1"/>
    <col min="13578" max="13578" width="1.7265625" style="1" customWidth="1"/>
    <col min="13579" max="13584" width="0" style="1" hidden="1" customWidth="1"/>
    <col min="13585" max="13585" width="10.1796875" style="1" customWidth="1"/>
    <col min="13586" max="13589" width="0" style="1" hidden="1" customWidth="1"/>
    <col min="13590" max="13590" width="9.1796875" style="1" customWidth="1"/>
    <col min="13591" max="13591" width="11.90625" style="1" customWidth="1"/>
    <col min="13592" max="13592" width="1.453125" style="1" customWidth="1"/>
    <col min="13593" max="13593" width="1.7265625" style="1" customWidth="1"/>
    <col min="13594" max="13604" width="0" style="1" hidden="1" customWidth="1"/>
    <col min="13605" max="13605" width="11.1796875" style="1" customWidth="1"/>
    <col min="13606" max="13607" width="0" style="1" hidden="1" customWidth="1"/>
    <col min="13608" max="13608" width="13" style="1" customWidth="1"/>
    <col min="13609" max="13611" width="0" style="1" hidden="1" customWidth="1"/>
    <col min="13612" max="13612" width="11.453125" style="1"/>
    <col min="13613" max="13613" width="12.453125" style="1" customWidth="1"/>
    <col min="13614" max="13615" width="10.7265625" style="1" customWidth="1"/>
    <col min="13616" max="13616" width="1.81640625" style="1" customWidth="1"/>
    <col min="13617" max="13617" width="2" style="1" customWidth="1"/>
    <col min="13618" max="13640" width="0" style="1" hidden="1" customWidth="1"/>
    <col min="13641" max="13641" width="13" style="1" customWidth="1"/>
    <col min="13642" max="13643" width="12.26953125" style="1" customWidth="1"/>
    <col min="13644" max="13824" width="11.453125" style="1"/>
    <col min="13825" max="13825" width="4.453125" style="1" customWidth="1"/>
    <col min="13826" max="13826" width="26.26953125" style="1" customWidth="1"/>
    <col min="13827" max="13827" width="8.26953125" style="1" customWidth="1"/>
    <col min="13828" max="13828" width="10.26953125" style="1" customWidth="1"/>
    <col min="13829" max="13829" width="11.1796875" style="1" customWidth="1"/>
    <col min="13830" max="13830" width="8.453125" style="1" customWidth="1"/>
    <col min="13831" max="13831" width="10.1796875" style="1" customWidth="1"/>
    <col min="13832" max="13832" width="10.54296875" style="1" customWidth="1"/>
    <col min="13833" max="13833" width="1.453125" style="1" customWidth="1"/>
    <col min="13834" max="13834" width="1.7265625" style="1" customWidth="1"/>
    <col min="13835" max="13840" width="0" style="1" hidden="1" customWidth="1"/>
    <col min="13841" max="13841" width="10.1796875" style="1" customWidth="1"/>
    <col min="13842" max="13845" width="0" style="1" hidden="1" customWidth="1"/>
    <col min="13846" max="13846" width="9.1796875" style="1" customWidth="1"/>
    <col min="13847" max="13847" width="11.90625" style="1" customWidth="1"/>
    <col min="13848" max="13848" width="1.453125" style="1" customWidth="1"/>
    <col min="13849" max="13849" width="1.7265625" style="1" customWidth="1"/>
    <col min="13850" max="13860" width="0" style="1" hidden="1" customWidth="1"/>
    <col min="13861" max="13861" width="11.1796875" style="1" customWidth="1"/>
    <col min="13862" max="13863" width="0" style="1" hidden="1" customWidth="1"/>
    <col min="13864" max="13864" width="13" style="1" customWidth="1"/>
    <col min="13865" max="13867" width="0" style="1" hidden="1" customWidth="1"/>
    <col min="13868" max="13868" width="11.453125" style="1"/>
    <col min="13869" max="13869" width="12.453125" style="1" customWidth="1"/>
    <col min="13870" max="13871" width="10.7265625" style="1" customWidth="1"/>
    <col min="13872" max="13872" width="1.81640625" style="1" customWidth="1"/>
    <col min="13873" max="13873" width="2" style="1" customWidth="1"/>
    <col min="13874" max="13896" width="0" style="1" hidden="1" customWidth="1"/>
    <col min="13897" max="13897" width="13" style="1" customWidth="1"/>
    <col min="13898" max="13899" width="12.26953125" style="1" customWidth="1"/>
    <col min="13900" max="14080" width="11.453125" style="1"/>
    <col min="14081" max="14081" width="4.453125" style="1" customWidth="1"/>
    <col min="14082" max="14082" width="26.26953125" style="1" customWidth="1"/>
    <col min="14083" max="14083" width="8.26953125" style="1" customWidth="1"/>
    <col min="14084" max="14084" width="10.26953125" style="1" customWidth="1"/>
    <col min="14085" max="14085" width="11.1796875" style="1" customWidth="1"/>
    <col min="14086" max="14086" width="8.453125" style="1" customWidth="1"/>
    <col min="14087" max="14087" width="10.1796875" style="1" customWidth="1"/>
    <col min="14088" max="14088" width="10.54296875" style="1" customWidth="1"/>
    <col min="14089" max="14089" width="1.453125" style="1" customWidth="1"/>
    <col min="14090" max="14090" width="1.7265625" style="1" customWidth="1"/>
    <col min="14091" max="14096" width="0" style="1" hidden="1" customWidth="1"/>
    <col min="14097" max="14097" width="10.1796875" style="1" customWidth="1"/>
    <col min="14098" max="14101" width="0" style="1" hidden="1" customWidth="1"/>
    <col min="14102" max="14102" width="9.1796875" style="1" customWidth="1"/>
    <col min="14103" max="14103" width="11.90625" style="1" customWidth="1"/>
    <col min="14104" max="14104" width="1.453125" style="1" customWidth="1"/>
    <col min="14105" max="14105" width="1.7265625" style="1" customWidth="1"/>
    <col min="14106" max="14116" width="0" style="1" hidden="1" customWidth="1"/>
    <col min="14117" max="14117" width="11.1796875" style="1" customWidth="1"/>
    <col min="14118" max="14119" width="0" style="1" hidden="1" customWidth="1"/>
    <col min="14120" max="14120" width="13" style="1" customWidth="1"/>
    <col min="14121" max="14123" width="0" style="1" hidden="1" customWidth="1"/>
    <col min="14124" max="14124" width="11.453125" style="1"/>
    <col min="14125" max="14125" width="12.453125" style="1" customWidth="1"/>
    <col min="14126" max="14127" width="10.7265625" style="1" customWidth="1"/>
    <col min="14128" max="14128" width="1.81640625" style="1" customWidth="1"/>
    <col min="14129" max="14129" width="2" style="1" customWidth="1"/>
    <col min="14130" max="14152" width="0" style="1" hidden="1" customWidth="1"/>
    <col min="14153" max="14153" width="13" style="1" customWidth="1"/>
    <col min="14154" max="14155" width="12.26953125" style="1" customWidth="1"/>
    <col min="14156" max="14336" width="11.453125" style="1"/>
    <col min="14337" max="14337" width="4.453125" style="1" customWidth="1"/>
    <col min="14338" max="14338" width="26.26953125" style="1" customWidth="1"/>
    <col min="14339" max="14339" width="8.26953125" style="1" customWidth="1"/>
    <col min="14340" max="14340" width="10.26953125" style="1" customWidth="1"/>
    <col min="14341" max="14341" width="11.1796875" style="1" customWidth="1"/>
    <col min="14342" max="14342" width="8.453125" style="1" customWidth="1"/>
    <col min="14343" max="14343" width="10.1796875" style="1" customWidth="1"/>
    <col min="14344" max="14344" width="10.54296875" style="1" customWidth="1"/>
    <col min="14345" max="14345" width="1.453125" style="1" customWidth="1"/>
    <col min="14346" max="14346" width="1.7265625" style="1" customWidth="1"/>
    <col min="14347" max="14352" width="0" style="1" hidden="1" customWidth="1"/>
    <col min="14353" max="14353" width="10.1796875" style="1" customWidth="1"/>
    <col min="14354" max="14357" width="0" style="1" hidden="1" customWidth="1"/>
    <col min="14358" max="14358" width="9.1796875" style="1" customWidth="1"/>
    <col min="14359" max="14359" width="11.90625" style="1" customWidth="1"/>
    <col min="14360" max="14360" width="1.453125" style="1" customWidth="1"/>
    <col min="14361" max="14361" width="1.7265625" style="1" customWidth="1"/>
    <col min="14362" max="14372" width="0" style="1" hidden="1" customWidth="1"/>
    <col min="14373" max="14373" width="11.1796875" style="1" customWidth="1"/>
    <col min="14374" max="14375" width="0" style="1" hidden="1" customWidth="1"/>
    <col min="14376" max="14376" width="13" style="1" customWidth="1"/>
    <col min="14377" max="14379" width="0" style="1" hidden="1" customWidth="1"/>
    <col min="14380" max="14380" width="11.453125" style="1"/>
    <col min="14381" max="14381" width="12.453125" style="1" customWidth="1"/>
    <col min="14382" max="14383" width="10.7265625" style="1" customWidth="1"/>
    <col min="14384" max="14384" width="1.81640625" style="1" customWidth="1"/>
    <col min="14385" max="14385" width="2" style="1" customWidth="1"/>
    <col min="14386" max="14408" width="0" style="1" hidden="1" customWidth="1"/>
    <col min="14409" max="14409" width="13" style="1" customWidth="1"/>
    <col min="14410" max="14411" width="12.26953125" style="1" customWidth="1"/>
    <col min="14412" max="14592" width="11.453125" style="1"/>
    <col min="14593" max="14593" width="4.453125" style="1" customWidth="1"/>
    <col min="14594" max="14594" width="26.26953125" style="1" customWidth="1"/>
    <col min="14595" max="14595" width="8.26953125" style="1" customWidth="1"/>
    <col min="14596" max="14596" width="10.26953125" style="1" customWidth="1"/>
    <col min="14597" max="14597" width="11.1796875" style="1" customWidth="1"/>
    <col min="14598" max="14598" width="8.453125" style="1" customWidth="1"/>
    <col min="14599" max="14599" width="10.1796875" style="1" customWidth="1"/>
    <col min="14600" max="14600" width="10.54296875" style="1" customWidth="1"/>
    <col min="14601" max="14601" width="1.453125" style="1" customWidth="1"/>
    <col min="14602" max="14602" width="1.7265625" style="1" customWidth="1"/>
    <col min="14603" max="14608" width="0" style="1" hidden="1" customWidth="1"/>
    <col min="14609" max="14609" width="10.1796875" style="1" customWidth="1"/>
    <col min="14610" max="14613" width="0" style="1" hidden="1" customWidth="1"/>
    <col min="14614" max="14614" width="9.1796875" style="1" customWidth="1"/>
    <col min="14615" max="14615" width="11.90625" style="1" customWidth="1"/>
    <col min="14616" max="14616" width="1.453125" style="1" customWidth="1"/>
    <col min="14617" max="14617" width="1.7265625" style="1" customWidth="1"/>
    <col min="14618" max="14628" width="0" style="1" hidden="1" customWidth="1"/>
    <col min="14629" max="14629" width="11.1796875" style="1" customWidth="1"/>
    <col min="14630" max="14631" width="0" style="1" hidden="1" customWidth="1"/>
    <col min="14632" max="14632" width="13" style="1" customWidth="1"/>
    <col min="14633" max="14635" width="0" style="1" hidden="1" customWidth="1"/>
    <col min="14636" max="14636" width="11.453125" style="1"/>
    <col min="14637" max="14637" width="12.453125" style="1" customWidth="1"/>
    <col min="14638" max="14639" width="10.7265625" style="1" customWidth="1"/>
    <col min="14640" max="14640" width="1.81640625" style="1" customWidth="1"/>
    <col min="14641" max="14641" width="2" style="1" customWidth="1"/>
    <col min="14642" max="14664" width="0" style="1" hidden="1" customWidth="1"/>
    <col min="14665" max="14665" width="13" style="1" customWidth="1"/>
    <col min="14666" max="14667" width="12.26953125" style="1" customWidth="1"/>
    <col min="14668" max="14848" width="11.453125" style="1"/>
    <col min="14849" max="14849" width="4.453125" style="1" customWidth="1"/>
    <col min="14850" max="14850" width="26.26953125" style="1" customWidth="1"/>
    <col min="14851" max="14851" width="8.26953125" style="1" customWidth="1"/>
    <col min="14852" max="14852" width="10.26953125" style="1" customWidth="1"/>
    <col min="14853" max="14853" width="11.1796875" style="1" customWidth="1"/>
    <col min="14854" max="14854" width="8.453125" style="1" customWidth="1"/>
    <col min="14855" max="14855" width="10.1796875" style="1" customWidth="1"/>
    <col min="14856" max="14856" width="10.54296875" style="1" customWidth="1"/>
    <col min="14857" max="14857" width="1.453125" style="1" customWidth="1"/>
    <col min="14858" max="14858" width="1.7265625" style="1" customWidth="1"/>
    <col min="14859" max="14864" width="0" style="1" hidden="1" customWidth="1"/>
    <col min="14865" max="14865" width="10.1796875" style="1" customWidth="1"/>
    <col min="14866" max="14869" width="0" style="1" hidden="1" customWidth="1"/>
    <col min="14870" max="14870" width="9.1796875" style="1" customWidth="1"/>
    <col min="14871" max="14871" width="11.90625" style="1" customWidth="1"/>
    <col min="14872" max="14872" width="1.453125" style="1" customWidth="1"/>
    <col min="14873" max="14873" width="1.7265625" style="1" customWidth="1"/>
    <col min="14874" max="14884" width="0" style="1" hidden="1" customWidth="1"/>
    <col min="14885" max="14885" width="11.1796875" style="1" customWidth="1"/>
    <col min="14886" max="14887" width="0" style="1" hidden="1" customWidth="1"/>
    <col min="14888" max="14888" width="13" style="1" customWidth="1"/>
    <col min="14889" max="14891" width="0" style="1" hidden="1" customWidth="1"/>
    <col min="14892" max="14892" width="11.453125" style="1"/>
    <col min="14893" max="14893" width="12.453125" style="1" customWidth="1"/>
    <col min="14894" max="14895" width="10.7265625" style="1" customWidth="1"/>
    <col min="14896" max="14896" width="1.81640625" style="1" customWidth="1"/>
    <col min="14897" max="14897" width="2" style="1" customWidth="1"/>
    <col min="14898" max="14920" width="0" style="1" hidden="1" customWidth="1"/>
    <col min="14921" max="14921" width="13" style="1" customWidth="1"/>
    <col min="14922" max="14923" width="12.26953125" style="1" customWidth="1"/>
    <col min="14924" max="15104" width="11.453125" style="1"/>
    <col min="15105" max="15105" width="4.453125" style="1" customWidth="1"/>
    <col min="15106" max="15106" width="26.26953125" style="1" customWidth="1"/>
    <col min="15107" max="15107" width="8.26953125" style="1" customWidth="1"/>
    <col min="15108" max="15108" width="10.26953125" style="1" customWidth="1"/>
    <col min="15109" max="15109" width="11.1796875" style="1" customWidth="1"/>
    <col min="15110" max="15110" width="8.453125" style="1" customWidth="1"/>
    <col min="15111" max="15111" width="10.1796875" style="1" customWidth="1"/>
    <col min="15112" max="15112" width="10.54296875" style="1" customWidth="1"/>
    <col min="15113" max="15113" width="1.453125" style="1" customWidth="1"/>
    <col min="15114" max="15114" width="1.7265625" style="1" customWidth="1"/>
    <col min="15115" max="15120" width="0" style="1" hidden="1" customWidth="1"/>
    <col min="15121" max="15121" width="10.1796875" style="1" customWidth="1"/>
    <col min="15122" max="15125" width="0" style="1" hidden="1" customWidth="1"/>
    <col min="15126" max="15126" width="9.1796875" style="1" customWidth="1"/>
    <col min="15127" max="15127" width="11.90625" style="1" customWidth="1"/>
    <col min="15128" max="15128" width="1.453125" style="1" customWidth="1"/>
    <col min="15129" max="15129" width="1.7265625" style="1" customWidth="1"/>
    <col min="15130" max="15140" width="0" style="1" hidden="1" customWidth="1"/>
    <col min="15141" max="15141" width="11.1796875" style="1" customWidth="1"/>
    <col min="15142" max="15143" width="0" style="1" hidden="1" customWidth="1"/>
    <col min="15144" max="15144" width="13" style="1" customWidth="1"/>
    <col min="15145" max="15147" width="0" style="1" hidden="1" customWidth="1"/>
    <col min="15148" max="15148" width="11.453125" style="1"/>
    <col min="15149" max="15149" width="12.453125" style="1" customWidth="1"/>
    <col min="15150" max="15151" width="10.7265625" style="1" customWidth="1"/>
    <col min="15152" max="15152" width="1.81640625" style="1" customWidth="1"/>
    <col min="15153" max="15153" width="2" style="1" customWidth="1"/>
    <col min="15154" max="15176" width="0" style="1" hidden="1" customWidth="1"/>
    <col min="15177" max="15177" width="13" style="1" customWidth="1"/>
    <col min="15178" max="15179" width="12.26953125" style="1" customWidth="1"/>
    <col min="15180" max="15360" width="11.453125" style="1"/>
    <col min="15361" max="15361" width="4.453125" style="1" customWidth="1"/>
    <col min="15362" max="15362" width="26.26953125" style="1" customWidth="1"/>
    <col min="15363" max="15363" width="8.26953125" style="1" customWidth="1"/>
    <col min="15364" max="15364" width="10.26953125" style="1" customWidth="1"/>
    <col min="15365" max="15365" width="11.1796875" style="1" customWidth="1"/>
    <col min="15366" max="15366" width="8.453125" style="1" customWidth="1"/>
    <col min="15367" max="15367" width="10.1796875" style="1" customWidth="1"/>
    <col min="15368" max="15368" width="10.54296875" style="1" customWidth="1"/>
    <col min="15369" max="15369" width="1.453125" style="1" customWidth="1"/>
    <col min="15370" max="15370" width="1.7265625" style="1" customWidth="1"/>
    <col min="15371" max="15376" width="0" style="1" hidden="1" customWidth="1"/>
    <col min="15377" max="15377" width="10.1796875" style="1" customWidth="1"/>
    <col min="15378" max="15381" width="0" style="1" hidden="1" customWidth="1"/>
    <col min="15382" max="15382" width="9.1796875" style="1" customWidth="1"/>
    <col min="15383" max="15383" width="11.90625" style="1" customWidth="1"/>
    <col min="15384" max="15384" width="1.453125" style="1" customWidth="1"/>
    <col min="15385" max="15385" width="1.7265625" style="1" customWidth="1"/>
    <col min="15386" max="15396" width="0" style="1" hidden="1" customWidth="1"/>
    <col min="15397" max="15397" width="11.1796875" style="1" customWidth="1"/>
    <col min="15398" max="15399" width="0" style="1" hidden="1" customWidth="1"/>
    <col min="15400" max="15400" width="13" style="1" customWidth="1"/>
    <col min="15401" max="15403" width="0" style="1" hidden="1" customWidth="1"/>
    <col min="15404" max="15404" width="11.453125" style="1"/>
    <col min="15405" max="15405" width="12.453125" style="1" customWidth="1"/>
    <col min="15406" max="15407" width="10.7265625" style="1" customWidth="1"/>
    <col min="15408" max="15408" width="1.81640625" style="1" customWidth="1"/>
    <col min="15409" max="15409" width="2" style="1" customWidth="1"/>
    <col min="15410" max="15432" width="0" style="1" hidden="1" customWidth="1"/>
    <col min="15433" max="15433" width="13" style="1" customWidth="1"/>
    <col min="15434" max="15435" width="12.26953125" style="1" customWidth="1"/>
    <col min="15436" max="15616" width="11.453125" style="1"/>
    <col min="15617" max="15617" width="4.453125" style="1" customWidth="1"/>
    <col min="15618" max="15618" width="26.26953125" style="1" customWidth="1"/>
    <col min="15619" max="15619" width="8.26953125" style="1" customWidth="1"/>
    <col min="15620" max="15620" width="10.26953125" style="1" customWidth="1"/>
    <col min="15621" max="15621" width="11.1796875" style="1" customWidth="1"/>
    <col min="15622" max="15622" width="8.453125" style="1" customWidth="1"/>
    <col min="15623" max="15623" width="10.1796875" style="1" customWidth="1"/>
    <col min="15624" max="15624" width="10.54296875" style="1" customWidth="1"/>
    <col min="15625" max="15625" width="1.453125" style="1" customWidth="1"/>
    <col min="15626" max="15626" width="1.7265625" style="1" customWidth="1"/>
    <col min="15627" max="15632" width="0" style="1" hidden="1" customWidth="1"/>
    <col min="15633" max="15633" width="10.1796875" style="1" customWidth="1"/>
    <col min="15634" max="15637" width="0" style="1" hidden="1" customWidth="1"/>
    <col min="15638" max="15638" width="9.1796875" style="1" customWidth="1"/>
    <col min="15639" max="15639" width="11.90625" style="1" customWidth="1"/>
    <col min="15640" max="15640" width="1.453125" style="1" customWidth="1"/>
    <col min="15641" max="15641" width="1.7265625" style="1" customWidth="1"/>
    <col min="15642" max="15652" width="0" style="1" hidden="1" customWidth="1"/>
    <col min="15653" max="15653" width="11.1796875" style="1" customWidth="1"/>
    <col min="15654" max="15655" width="0" style="1" hidden="1" customWidth="1"/>
    <col min="15656" max="15656" width="13" style="1" customWidth="1"/>
    <col min="15657" max="15659" width="0" style="1" hidden="1" customWidth="1"/>
    <col min="15660" max="15660" width="11.453125" style="1"/>
    <col min="15661" max="15661" width="12.453125" style="1" customWidth="1"/>
    <col min="15662" max="15663" width="10.7265625" style="1" customWidth="1"/>
    <col min="15664" max="15664" width="1.81640625" style="1" customWidth="1"/>
    <col min="15665" max="15665" width="2" style="1" customWidth="1"/>
    <col min="15666" max="15688" width="0" style="1" hidden="1" customWidth="1"/>
    <col min="15689" max="15689" width="13" style="1" customWidth="1"/>
    <col min="15690" max="15691" width="12.26953125" style="1" customWidth="1"/>
    <col min="15692" max="15872" width="11.453125" style="1"/>
    <col min="15873" max="15873" width="4.453125" style="1" customWidth="1"/>
    <col min="15874" max="15874" width="26.26953125" style="1" customWidth="1"/>
    <col min="15875" max="15875" width="8.26953125" style="1" customWidth="1"/>
    <col min="15876" max="15876" width="10.26953125" style="1" customWidth="1"/>
    <col min="15877" max="15877" width="11.1796875" style="1" customWidth="1"/>
    <col min="15878" max="15878" width="8.453125" style="1" customWidth="1"/>
    <col min="15879" max="15879" width="10.1796875" style="1" customWidth="1"/>
    <col min="15880" max="15880" width="10.54296875" style="1" customWidth="1"/>
    <col min="15881" max="15881" width="1.453125" style="1" customWidth="1"/>
    <col min="15882" max="15882" width="1.7265625" style="1" customWidth="1"/>
    <col min="15883" max="15888" width="0" style="1" hidden="1" customWidth="1"/>
    <col min="15889" max="15889" width="10.1796875" style="1" customWidth="1"/>
    <col min="15890" max="15893" width="0" style="1" hidden="1" customWidth="1"/>
    <col min="15894" max="15894" width="9.1796875" style="1" customWidth="1"/>
    <col min="15895" max="15895" width="11.90625" style="1" customWidth="1"/>
    <col min="15896" max="15896" width="1.453125" style="1" customWidth="1"/>
    <col min="15897" max="15897" width="1.7265625" style="1" customWidth="1"/>
    <col min="15898" max="15908" width="0" style="1" hidden="1" customWidth="1"/>
    <col min="15909" max="15909" width="11.1796875" style="1" customWidth="1"/>
    <col min="15910" max="15911" width="0" style="1" hidden="1" customWidth="1"/>
    <col min="15912" max="15912" width="13" style="1" customWidth="1"/>
    <col min="15913" max="15915" width="0" style="1" hidden="1" customWidth="1"/>
    <col min="15916" max="15916" width="11.453125" style="1"/>
    <col min="15917" max="15917" width="12.453125" style="1" customWidth="1"/>
    <col min="15918" max="15919" width="10.7265625" style="1" customWidth="1"/>
    <col min="15920" max="15920" width="1.81640625" style="1" customWidth="1"/>
    <col min="15921" max="15921" width="2" style="1" customWidth="1"/>
    <col min="15922" max="15944" width="0" style="1" hidden="1" customWidth="1"/>
    <col min="15945" max="15945" width="13" style="1" customWidth="1"/>
    <col min="15946" max="15947" width="12.26953125" style="1" customWidth="1"/>
    <col min="15948" max="16128" width="11.453125" style="1"/>
    <col min="16129" max="16129" width="4.453125" style="1" customWidth="1"/>
    <col min="16130" max="16130" width="26.26953125" style="1" customWidth="1"/>
    <col min="16131" max="16131" width="8.26953125" style="1" customWidth="1"/>
    <col min="16132" max="16132" width="10.26953125" style="1" customWidth="1"/>
    <col min="16133" max="16133" width="11.1796875" style="1" customWidth="1"/>
    <col min="16134" max="16134" width="8.453125" style="1" customWidth="1"/>
    <col min="16135" max="16135" width="10.1796875" style="1" customWidth="1"/>
    <col min="16136" max="16136" width="10.54296875" style="1" customWidth="1"/>
    <col min="16137" max="16137" width="1.453125" style="1" customWidth="1"/>
    <col min="16138" max="16138" width="1.7265625" style="1" customWidth="1"/>
    <col min="16139" max="16144" width="0" style="1" hidden="1" customWidth="1"/>
    <col min="16145" max="16145" width="10.1796875" style="1" customWidth="1"/>
    <col min="16146" max="16149" width="0" style="1" hidden="1" customWidth="1"/>
    <col min="16150" max="16150" width="9.1796875" style="1" customWidth="1"/>
    <col min="16151" max="16151" width="11.90625" style="1" customWidth="1"/>
    <col min="16152" max="16152" width="1.453125" style="1" customWidth="1"/>
    <col min="16153" max="16153" width="1.7265625" style="1" customWidth="1"/>
    <col min="16154" max="16164" width="0" style="1" hidden="1" customWidth="1"/>
    <col min="16165" max="16165" width="11.1796875" style="1" customWidth="1"/>
    <col min="16166" max="16167" width="0" style="1" hidden="1" customWidth="1"/>
    <col min="16168" max="16168" width="13" style="1" customWidth="1"/>
    <col min="16169" max="16171" width="0" style="1" hidden="1" customWidth="1"/>
    <col min="16172" max="16172" width="11.453125" style="1"/>
    <col min="16173" max="16173" width="12.453125" style="1" customWidth="1"/>
    <col min="16174" max="16175" width="10.7265625" style="1" customWidth="1"/>
    <col min="16176" max="16176" width="1.81640625" style="1" customWidth="1"/>
    <col min="16177" max="16177" width="2" style="1" customWidth="1"/>
    <col min="16178" max="16200" width="0" style="1" hidden="1" customWidth="1"/>
    <col min="16201" max="16201" width="13" style="1" customWidth="1"/>
    <col min="16202" max="16203" width="12.26953125" style="1" customWidth="1"/>
    <col min="16204" max="16384" width="11.453125" style="1"/>
  </cols>
  <sheetData>
    <row r="1" spans="1:256">
      <c r="B1" s="500" t="s">
        <v>0</v>
      </c>
      <c r="C1" s="501">
        <v>0</v>
      </c>
      <c r="D1" s="501" t="s">
        <v>1</v>
      </c>
      <c r="E1" s="502">
        <v>0.01</v>
      </c>
      <c r="G1" s="2" t="s">
        <v>2</v>
      </c>
      <c r="H1" s="499">
        <v>0.95</v>
      </c>
      <c r="AF1" s="1"/>
    </row>
    <row r="2" spans="1:256" ht="15">
      <c r="G2" s="3" t="s">
        <v>3</v>
      </c>
      <c r="H2" s="4">
        <f>-NORMSINV((1-H1)/2)</f>
        <v>1.9599639845400536</v>
      </c>
      <c r="AF2" s="1"/>
    </row>
    <row r="3" spans="1:256" ht="13.5" thickBot="1">
      <c r="C3" s="7"/>
      <c r="D3" s="7"/>
      <c r="E3" s="6"/>
      <c r="F3" s="5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256" ht="24" customHeight="1" thickBot="1">
      <c r="A4" s="655" t="s">
        <v>404</v>
      </c>
      <c r="B4" s="656"/>
      <c r="C4" s="657"/>
      <c r="D4" s="657"/>
      <c r="E4" s="658"/>
      <c r="F4" s="659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660"/>
      <c r="AZ4" s="660"/>
      <c r="BA4" s="660"/>
      <c r="BB4" s="660"/>
      <c r="BC4" s="660"/>
      <c r="BD4" s="660"/>
      <c r="BE4" s="660"/>
      <c r="BF4" s="660"/>
      <c r="BG4" s="660"/>
      <c r="BH4" s="660"/>
      <c r="BI4" s="660"/>
      <c r="BJ4" s="660"/>
      <c r="BK4" s="660"/>
      <c r="BL4" s="660"/>
      <c r="BM4" s="660"/>
      <c r="BN4" s="660"/>
      <c r="BO4" s="660"/>
      <c r="BP4" s="660"/>
      <c r="BQ4" s="660"/>
      <c r="BR4" s="660"/>
      <c r="BS4" s="660"/>
      <c r="BT4" s="660"/>
      <c r="BU4" s="660"/>
      <c r="BV4" s="660"/>
      <c r="BW4" s="661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256" ht="15.5">
      <c r="A5" s="645"/>
      <c r="B5" s="646"/>
      <c r="C5" s="647"/>
      <c r="D5" s="647"/>
      <c r="E5" s="648"/>
      <c r="F5" s="649"/>
      <c r="G5" s="8"/>
      <c r="H5" s="8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256" ht="13" customHeight="1">
      <c r="E6" s="10"/>
      <c r="J6" s="668" t="s">
        <v>4</v>
      </c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70"/>
      <c r="X6" s="11"/>
      <c r="Y6" s="668" t="s">
        <v>5</v>
      </c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70"/>
      <c r="AV6" s="11"/>
      <c r="AW6" s="668" t="s">
        <v>232</v>
      </c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69"/>
      <c r="BW6" s="670"/>
    </row>
    <row r="7" spans="1:256">
      <c r="A7" s="642" t="s">
        <v>395</v>
      </c>
      <c r="B7" s="12" t="s">
        <v>6</v>
      </c>
      <c r="C7" s="674" t="s">
        <v>7</v>
      </c>
      <c r="D7" s="675"/>
      <c r="E7" s="676"/>
      <c r="F7" s="674" t="s">
        <v>8</v>
      </c>
      <c r="G7" s="675"/>
      <c r="H7" s="676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60">
      <c r="B8" s="503" t="s">
        <v>233</v>
      </c>
      <c r="C8" s="15" t="s">
        <v>9</v>
      </c>
      <c r="D8" s="15" t="s">
        <v>10</v>
      </c>
      <c r="E8" s="15" t="s">
        <v>11</v>
      </c>
      <c r="F8" s="15" t="s">
        <v>9</v>
      </c>
      <c r="G8" s="15" t="s">
        <v>10</v>
      </c>
      <c r="H8" s="15" t="s">
        <v>11</v>
      </c>
      <c r="I8" s="16"/>
      <c r="K8" s="17" t="s">
        <v>12</v>
      </c>
      <c r="L8" s="17" t="s">
        <v>13</v>
      </c>
      <c r="M8" s="17" t="s">
        <v>14</v>
      </c>
      <c r="N8" s="18" t="s">
        <v>15</v>
      </c>
      <c r="O8" s="18" t="s">
        <v>16</v>
      </c>
      <c r="P8" s="18" t="s">
        <v>17</v>
      </c>
      <c r="Q8" s="486" t="s">
        <v>18</v>
      </c>
      <c r="R8" s="486" t="s">
        <v>19</v>
      </c>
      <c r="S8" s="487" t="s">
        <v>3</v>
      </c>
      <c r="T8" s="486" t="s">
        <v>20</v>
      </c>
      <c r="U8" s="486" t="s">
        <v>21</v>
      </c>
      <c r="V8" s="486" t="s">
        <v>22</v>
      </c>
      <c r="W8" s="486" t="s">
        <v>22</v>
      </c>
      <c r="X8" s="19"/>
      <c r="Y8" s="584"/>
      <c r="Z8" s="585" t="s">
        <v>376</v>
      </c>
      <c r="AA8" s="586" t="s">
        <v>377</v>
      </c>
      <c r="AB8" s="587" t="s">
        <v>25</v>
      </c>
      <c r="AC8" s="587" t="s">
        <v>26</v>
      </c>
      <c r="AD8" s="587" t="s">
        <v>378</v>
      </c>
      <c r="AE8" s="586" t="s">
        <v>379</v>
      </c>
      <c r="AF8" s="586" t="s">
        <v>380</v>
      </c>
      <c r="AG8" s="588" t="s">
        <v>381</v>
      </c>
      <c r="AH8" s="588" t="s">
        <v>382</v>
      </c>
      <c r="AI8" s="587" t="s">
        <v>383</v>
      </c>
      <c r="AJ8" s="586" t="s">
        <v>384</v>
      </c>
      <c r="AK8" s="586" t="s">
        <v>385</v>
      </c>
      <c r="AL8" s="586" t="s">
        <v>386</v>
      </c>
      <c r="AM8" s="587" t="s">
        <v>387</v>
      </c>
      <c r="AN8" s="589" t="s">
        <v>388</v>
      </c>
      <c r="AO8" s="586" t="s">
        <v>389</v>
      </c>
      <c r="AP8" s="586" t="s">
        <v>390</v>
      </c>
      <c r="AQ8" s="587" t="s">
        <v>391</v>
      </c>
      <c r="AR8" s="586" t="s">
        <v>392</v>
      </c>
      <c r="AS8" s="586" t="s">
        <v>393</v>
      </c>
      <c r="AT8" s="590" t="s">
        <v>22</v>
      </c>
      <c r="AU8" s="590" t="s">
        <v>22</v>
      </c>
      <c r="AV8" s="19"/>
      <c r="AX8" s="23" t="s">
        <v>42</v>
      </c>
      <c r="AY8" s="23" t="s">
        <v>25</v>
      </c>
      <c r="AZ8" s="24" t="s">
        <v>64</v>
      </c>
      <c r="BA8" s="25" t="s">
        <v>65</v>
      </c>
      <c r="BC8" s="3" t="s">
        <v>66</v>
      </c>
      <c r="BD8" s="3" t="s">
        <v>67</v>
      </c>
      <c r="BE8" s="3" t="s">
        <v>43</v>
      </c>
      <c r="BF8" s="3" t="s">
        <v>44</v>
      </c>
      <c r="BG8" s="3" t="s">
        <v>45</v>
      </c>
      <c r="BH8" s="3" t="s">
        <v>46</v>
      </c>
      <c r="BI8" s="3" t="s">
        <v>47</v>
      </c>
      <c r="BJ8" s="3" t="s">
        <v>68</v>
      </c>
      <c r="BK8" s="3" t="s">
        <v>48</v>
      </c>
      <c r="BL8" s="3" t="s">
        <v>49</v>
      </c>
      <c r="BM8" s="26" t="s">
        <v>69</v>
      </c>
      <c r="BN8" s="26" t="s">
        <v>70</v>
      </c>
      <c r="BO8" s="26" t="s">
        <v>71</v>
      </c>
      <c r="BP8" s="26" t="s">
        <v>72</v>
      </c>
      <c r="BQ8" s="26" t="s">
        <v>73</v>
      </c>
      <c r="BR8" s="27"/>
      <c r="BS8" s="18" t="s">
        <v>74</v>
      </c>
      <c r="BT8" s="18" t="s">
        <v>75</v>
      </c>
      <c r="BU8" s="486" t="s">
        <v>229</v>
      </c>
      <c r="BV8" s="486" t="s">
        <v>230</v>
      </c>
      <c r="BW8" s="486" t="s">
        <v>231</v>
      </c>
    </row>
    <row r="9" spans="1:256">
      <c r="A9" s="5"/>
      <c r="B9" s="583" t="s">
        <v>434</v>
      </c>
      <c r="C9" s="29">
        <v>168</v>
      </c>
      <c r="D9" s="30">
        <f>E9-C9</f>
        <v>2034</v>
      </c>
      <c r="E9" s="31">
        <v>2202</v>
      </c>
      <c r="F9" s="29">
        <v>201</v>
      </c>
      <c r="G9" s="30">
        <f>H9-F9</f>
        <v>1998</v>
      </c>
      <c r="H9" s="31">
        <v>2199</v>
      </c>
      <c r="I9" s="32"/>
      <c r="K9" s="33">
        <f>(C9/E9)/(F9/H9)</f>
        <v>0.83468217495628128</v>
      </c>
      <c r="L9" s="34">
        <f>(D9/(C9*E9)+(G9/(F9*H9)))</f>
        <v>1.0018620563696483E-2</v>
      </c>
      <c r="M9" s="35">
        <f>1/L9</f>
        <v>99.814140444005275</v>
      </c>
      <c r="N9" s="36">
        <f>LN(K9)</f>
        <v>-0.1807042553836809</v>
      </c>
      <c r="O9" s="36">
        <f>M9*N9</f>
        <v>-18.036839925696121</v>
      </c>
      <c r="P9" s="36">
        <f>LN(K9)</f>
        <v>-0.1807042553836809</v>
      </c>
      <c r="Q9" s="37">
        <f>K9</f>
        <v>0.83468217495628128</v>
      </c>
      <c r="R9" s="38">
        <f>SQRT(1/M9)</f>
        <v>0.10009305951811286</v>
      </c>
      <c r="S9" s="39">
        <f>$H$2</f>
        <v>1.9599639845400536</v>
      </c>
      <c r="T9" s="40">
        <f>P9-(R9*S9)</f>
        <v>-0.37688304714160614</v>
      </c>
      <c r="U9" s="40">
        <f>P9+(R9*S9)</f>
        <v>1.5474536374244313E-2</v>
      </c>
      <c r="V9" s="41">
        <f>EXP(T9)</f>
        <v>0.68599629843263354</v>
      </c>
      <c r="W9" s="42">
        <f>EXP(U9)</f>
        <v>1.0155948870009319</v>
      </c>
      <c r="X9" s="43"/>
      <c r="Y9" s="591"/>
      <c r="Z9" s="592">
        <f>(N9-P13)^2</f>
        <v>1.9192970820849685E-3</v>
      </c>
      <c r="AA9" s="593">
        <f>M9*Z9</f>
        <v>0.19157298850499857</v>
      </c>
      <c r="AB9" s="594">
        <v>1</v>
      </c>
      <c r="AC9" s="595"/>
      <c r="AD9" s="595"/>
      <c r="AE9" s="596">
        <f>M9^2</f>
        <v>9962.8626325756104</v>
      </c>
      <c r="AF9" s="597"/>
      <c r="AG9" s="598">
        <f>AG13</f>
        <v>1.1004830744642874E-2</v>
      </c>
      <c r="AH9" s="598">
        <f>AH13</f>
        <v>1.1004830744642874E-2</v>
      </c>
      <c r="AI9" s="593">
        <f>1/M9</f>
        <v>1.0018620563696483E-2</v>
      </c>
      <c r="AJ9" s="599">
        <f>1/(AH9+AI9)</f>
        <v>47.565929367807023</v>
      </c>
      <c r="AK9" s="600">
        <f>AJ9/AJ13</f>
        <v>0.26226770065509064</v>
      </c>
      <c r="AL9" s="601">
        <f>AJ9*N9</f>
        <v>-8.5953658480423272</v>
      </c>
      <c r="AM9" s="601">
        <f>AL9/AJ9</f>
        <v>-0.1807042553836809</v>
      </c>
      <c r="AN9" s="602">
        <f>EXP(AM9)</f>
        <v>0.83468217495628128</v>
      </c>
      <c r="AO9" s="603">
        <f>1/AJ9</f>
        <v>2.1023451308339356E-2</v>
      </c>
      <c r="AP9" s="604">
        <f>SQRT(AO9)</f>
        <v>0.14499465958558388</v>
      </c>
      <c r="AQ9" s="605">
        <f>$H$2</f>
        <v>1.9599639845400536</v>
      </c>
      <c r="AR9" s="606">
        <f>AM9-(AQ9*AP9)</f>
        <v>-0.46488856612207058</v>
      </c>
      <c r="AS9" s="606">
        <f>AM9+(AQ9*AP9)</f>
        <v>0.10348005535470878</v>
      </c>
      <c r="AT9" s="607">
        <f>EXP(AR9)</f>
        <v>0.62820510462035728</v>
      </c>
      <c r="AU9" s="607">
        <f>EXP(AS9)</f>
        <v>1.1090236740606889</v>
      </c>
      <c r="AV9" s="16"/>
      <c r="AX9" s="53"/>
      <c r="AY9" s="53">
        <v>1</v>
      </c>
      <c r="AZ9" s="54"/>
      <c r="BA9" s="54"/>
      <c r="BC9" s="27"/>
      <c r="BD9" s="27"/>
      <c r="BE9" s="2"/>
      <c r="BF9" s="2"/>
      <c r="BG9" s="2"/>
      <c r="BH9" s="2"/>
      <c r="BI9" s="2"/>
      <c r="BJ9" s="2"/>
      <c r="BK9" s="2"/>
      <c r="BL9" s="2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256">
      <c r="A10" s="5"/>
      <c r="B10" s="583" t="s">
        <v>435</v>
      </c>
      <c r="C10" s="29">
        <v>101</v>
      </c>
      <c r="D10" s="30">
        <f t="shared" ref="D10" si="0">E10-C10</f>
        <v>2051</v>
      </c>
      <c r="E10" s="31">
        <v>2152</v>
      </c>
      <c r="F10" s="29">
        <v>146</v>
      </c>
      <c r="G10" s="30">
        <f t="shared" ref="G10" si="1">H10-F10</f>
        <v>2006</v>
      </c>
      <c r="H10" s="31">
        <v>2152</v>
      </c>
      <c r="I10" s="32"/>
      <c r="K10" s="33">
        <f t="shared" ref="K10:K12" si="2">(C10/E10)/(F10/H10)</f>
        <v>0.69178082191780821</v>
      </c>
      <c r="L10" s="34">
        <f t="shared" ref="L10:L12" si="3">(D10/(C10*E10)+(G10/(F10*H10)))</f>
        <v>1.5820937137763273E-2</v>
      </c>
      <c r="M10" s="35">
        <f t="shared" ref="M10:M12" si="4">1/L10</f>
        <v>63.207380908750494</v>
      </c>
      <c r="N10" s="36">
        <f t="shared" ref="N10:N12" si="5">LN(K10)</f>
        <v>-0.368486104867077</v>
      </c>
      <c r="O10" s="36">
        <f t="shared" ref="O10:O12" si="6">M10*N10</f>
        <v>-23.291041589915114</v>
      </c>
      <c r="P10" s="36">
        <f t="shared" ref="P10:P12" si="7">LN(K10)</f>
        <v>-0.368486104867077</v>
      </c>
      <c r="Q10" s="37">
        <f t="shared" ref="Q10:Q12" si="8">K10</f>
        <v>0.69178082191780821</v>
      </c>
      <c r="R10" s="38">
        <f t="shared" ref="R10:R12" si="9">SQRT(1/M10)</f>
        <v>0.12578130678985361</v>
      </c>
      <c r="S10" s="39">
        <f t="shared" ref="S10:S13" si="10">$H$2</f>
        <v>1.9599639845400536</v>
      </c>
      <c r="T10" s="40">
        <f t="shared" ref="T10:T12" si="11">P10-(R10*S10)</f>
        <v>-0.61501293610357344</v>
      </c>
      <c r="U10" s="40">
        <f t="shared" ref="U10:U12" si="12">P10+(R10*S10)</f>
        <v>-0.12195927363058062</v>
      </c>
      <c r="V10" s="41">
        <f t="shared" ref="V10:W12" si="13">EXP(T10)</f>
        <v>0.54063390156793478</v>
      </c>
      <c r="W10" s="42">
        <f t="shared" si="13"/>
        <v>0.88518441811615367</v>
      </c>
      <c r="X10" s="43"/>
      <c r="Y10" s="591"/>
      <c r="Z10" s="592">
        <f>(N10-P13)^2</f>
        <v>5.3634684212947759E-2</v>
      </c>
      <c r="AA10" s="593">
        <f t="shared" ref="AA10:AA12" si="14">M10*Z10</f>
        <v>3.3901079149683357</v>
      </c>
      <c r="AB10" s="594">
        <v>1</v>
      </c>
      <c r="AC10" s="595"/>
      <c r="AD10" s="595"/>
      <c r="AE10" s="596">
        <f t="shared" ref="AE10:AE12" si="15">M10^2</f>
        <v>3995.1730013438764</v>
      </c>
      <c r="AF10" s="597"/>
      <c r="AG10" s="598">
        <f>AG13</f>
        <v>1.1004830744642874E-2</v>
      </c>
      <c r="AH10" s="598">
        <f>AH13</f>
        <v>1.1004830744642874E-2</v>
      </c>
      <c r="AI10" s="593">
        <f t="shared" ref="AI10:AI12" si="16">1/M10</f>
        <v>1.5820937137763273E-2</v>
      </c>
      <c r="AJ10" s="599">
        <f t="shared" ref="AJ10:AJ12" si="17">1/(AH10+AI10)</f>
        <v>37.27759087395431</v>
      </c>
      <c r="AK10" s="600">
        <f>AJ10/AJ13</f>
        <v>0.20554014552883174</v>
      </c>
      <c r="AL10" s="601">
        <f t="shared" ref="AL10:AL12" si="18">AJ10*N10</f>
        <v>-13.736274259971921</v>
      </c>
      <c r="AM10" s="601">
        <f t="shared" ref="AM10:AM12" si="19">AL10/AJ10</f>
        <v>-0.368486104867077</v>
      </c>
      <c r="AN10" s="602">
        <f t="shared" ref="AN10:AN12" si="20">EXP(AM10)</f>
        <v>0.69178082191780821</v>
      </c>
      <c r="AO10" s="603">
        <f t="shared" ref="AO10:AO12" si="21">1/AJ10</f>
        <v>2.6825767882406145E-2</v>
      </c>
      <c r="AP10" s="604">
        <f t="shared" ref="AP10:AP12" si="22">SQRT(AO10)</f>
        <v>0.16378573772586594</v>
      </c>
      <c r="AQ10" s="605">
        <f t="shared" ref="AQ10:AQ13" si="23">$H$2</f>
        <v>1.9599639845400536</v>
      </c>
      <c r="AR10" s="606">
        <f t="shared" ref="AR10:AR12" si="24">AM10-(AQ10*AP10)</f>
        <v>-0.68950025199109732</v>
      </c>
      <c r="AS10" s="606">
        <f t="shared" ref="AS10:AS13" si="25">AM10+(AQ10*AP10)</f>
        <v>-4.7471957743056625E-2</v>
      </c>
      <c r="AT10" s="607">
        <f t="shared" ref="AT10:AU12" si="26">EXP(AR10)</f>
        <v>0.50182679335214775</v>
      </c>
      <c r="AU10" s="607">
        <f t="shared" si="26"/>
        <v>0.95363721489748576</v>
      </c>
      <c r="AV10" s="16"/>
      <c r="AX10" s="53"/>
      <c r="AY10" s="53">
        <v>1</v>
      </c>
      <c r="AZ10" s="54"/>
      <c r="BA10" s="54"/>
      <c r="BC10" s="27"/>
      <c r="BD10" s="27"/>
      <c r="BE10" s="2"/>
      <c r="BF10" s="2"/>
      <c r="BG10" s="2"/>
      <c r="BH10" s="2"/>
      <c r="BI10" s="2"/>
      <c r="BJ10" s="2"/>
      <c r="BK10" s="2"/>
      <c r="BL10" s="2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256">
      <c r="A11" s="5"/>
      <c r="B11" s="583" t="s">
        <v>436</v>
      </c>
      <c r="C11" s="29">
        <v>246</v>
      </c>
      <c r="D11" s="30">
        <f>E11-C11</f>
        <v>5046</v>
      </c>
      <c r="E11" s="31">
        <v>5292</v>
      </c>
      <c r="F11" s="29">
        <v>246</v>
      </c>
      <c r="G11" s="30">
        <f>H11-F11</f>
        <v>5046</v>
      </c>
      <c r="H11" s="31">
        <v>5292</v>
      </c>
      <c r="I11" s="32"/>
      <c r="K11" s="33">
        <f t="shared" si="2"/>
        <v>1</v>
      </c>
      <c r="L11" s="34">
        <f t="shared" si="3"/>
        <v>7.7521523514554871E-3</v>
      </c>
      <c r="M11" s="35">
        <f t="shared" si="4"/>
        <v>128.99643281807371</v>
      </c>
      <c r="N11" s="36">
        <f t="shared" si="5"/>
        <v>0</v>
      </c>
      <c r="O11" s="36">
        <f t="shared" si="6"/>
        <v>0</v>
      </c>
      <c r="P11" s="36">
        <f t="shared" si="7"/>
        <v>0</v>
      </c>
      <c r="Q11" s="37">
        <f t="shared" si="8"/>
        <v>1</v>
      </c>
      <c r="R11" s="38">
        <f t="shared" si="9"/>
        <v>8.8046307994461004E-2</v>
      </c>
      <c r="S11" s="39">
        <f t="shared" si="10"/>
        <v>1.9599639845400536</v>
      </c>
      <c r="T11" s="40">
        <f t="shared" si="11"/>
        <v>-0.17256759264086458</v>
      </c>
      <c r="U11" s="40">
        <f t="shared" si="12"/>
        <v>0.17256759264086458</v>
      </c>
      <c r="V11" s="41">
        <f t="shared" si="13"/>
        <v>0.84150140758698877</v>
      </c>
      <c r="W11" s="42">
        <f t="shared" si="13"/>
        <v>1.1883521417599372</v>
      </c>
      <c r="X11" s="43"/>
      <c r="Y11" s="591"/>
      <c r="Z11" s="592">
        <f>(N11-P13)^2</f>
        <v>1.874009658302438E-2</v>
      </c>
      <c r="AA11" s="593">
        <f t="shared" si="14"/>
        <v>2.417405609876317</v>
      </c>
      <c r="AB11" s="594">
        <v>1</v>
      </c>
      <c r="AC11" s="595"/>
      <c r="AD11" s="595"/>
      <c r="AE11" s="596">
        <f t="shared" si="15"/>
        <v>16640.079679787807</v>
      </c>
      <c r="AF11" s="597"/>
      <c r="AG11" s="598">
        <f>AG13</f>
        <v>1.1004830744642874E-2</v>
      </c>
      <c r="AH11" s="598">
        <f>AH13</f>
        <v>1.1004830744642874E-2</v>
      </c>
      <c r="AI11" s="593">
        <f t="shared" si="16"/>
        <v>7.752152351455488E-3</v>
      </c>
      <c r="AJ11" s="599">
        <f t="shared" si="17"/>
        <v>53.313477699300684</v>
      </c>
      <c r="AK11" s="600">
        <f>AJ11/AJ13</f>
        <v>0.29395837306156863</v>
      </c>
      <c r="AL11" s="601">
        <f t="shared" si="18"/>
        <v>0</v>
      </c>
      <c r="AM11" s="601">
        <f t="shared" si="19"/>
        <v>0</v>
      </c>
      <c r="AN11" s="602">
        <f t="shared" si="20"/>
        <v>1</v>
      </c>
      <c r="AO11" s="603">
        <f t="shared" si="21"/>
        <v>1.8756983096098363E-2</v>
      </c>
      <c r="AP11" s="604">
        <f t="shared" si="22"/>
        <v>0.13695613566430079</v>
      </c>
      <c r="AQ11" s="605">
        <f t="shared" si="23"/>
        <v>1.9599639845400536</v>
      </c>
      <c r="AR11" s="606">
        <f t="shared" si="24"/>
        <v>-0.2684290933638111</v>
      </c>
      <c r="AS11" s="606">
        <f t="shared" si="25"/>
        <v>0.2684290933638111</v>
      </c>
      <c r="AT11" s="607">
        <f t="shared" si="26"/>
        <v>0.76457963465783119</v>
      </c>
      <c r="AU11" s="607">
        <f t="shared" si="26"/>
        <v>1.3079082343692368</v>
      </c>
      <c r="AV11" s="16"/>
      <c r="AX11" s="53"/>
      <c r="AY11" s="53">
        <v>1</v>
      </c>
      <c r="AZ11" s="54"/>
      <c r="BA11" s="54"/>
      <c r="BC11" s="27"/>
      <c r="BD11" s="27"/>
      <c r="BE11" s="2"/>
      <c r="BF11" s="2"/>
      <c r="BG11" s="2"/>
      <c r="BH11" s="2"/>
      <c r="BI11" s="2"/>
      <c r="BJ11" s="2"/>
      <c r="BK11" s="2"/>
      <c r="BL11" s="2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256">
      <c r="A12" s="5"/>
      <c r="B12" s="583" t="s">
        <v>437</v>
      </c>
      <c r="C12" s="29">
        <v>148</v>
      </c>
      <c r="D12" s="30">
        <f t="shared" ref="D12" si="27">E12-C12</f>
        <v>3156</v>
      </c>
      <c r="E12" s="31">
        <v>3304</v>
      </c>
      <c r="F12" s="29">
        <v>167</v>
      </c>
      <c r="G12" s="30">
        <f t="shared" ref="G12" si="28">H12-F12</f>
        <v>3138</v>
      </c>
      <c r="H12" s="31">
        <v>3305</v>
      </c>
      <c r="I12" s="32"/>
      <c r="K12" s="33">
        <f t="shared" si="2"/>
        <v>0.88649577358599996</v>
      </c>
      <c r="L12" s="34">
        <f t="shared" si="3"/>
        <v>1.2139545409778962E-2</v>
      </c>
      <c r="M12" s="35">
        <f t="shared" si="4"/>
        <v>82.375407500387453</v>
      </c>
      <c r="N12" s="36">
        <f t="shared" si="5"/>
        <v>-0.12047892100772202</v>
      </c>
      <c r="O12" s="36">
        <f t="shared" si="6"/>
        <v>-9.9245002132180922</v>
      </c>
      <c r="P12" s="36">
        <f t="shared" si="7"/>
        <v>-0.12047892100772202</v>
      </c>
      <c r="Q12" s="37">
        <f t="shared" si="8"/>
        <v>0.88649577358599996</v>
      </c>
      <c r="R12" s="38">
        <f t="shared" si="9"/>
        <v>0.11017960523517482</v>
      </c>
      <c r="S12" s="39">
        <f t="shared" si="10"/>
        <v>1.9599639845400536</v>
      </c>
      <c r="T12" s="40">
        <f t="shared" si="11"/>
        <v>-0.33642697909950542</v>
      </c>
      <c r="U12" s="40">
        <f t="shared" si="12"/>
        <v>9.5469137084061365E-2</v>
      </c>
      <c r="V12" s="41">
        <f t="shared" si="13"/>
        <v>0.71431804181846048</v>
      </c>
      <c r="W12" s="42">
        <f t="shared" si="13"/>
        <v>1.1001748669055258</v>
      </c>
      <c r="X12" s="43"/>
      <c r="Y12" s="591"/>
      <c r="Z12" s="592">
        <f>(N12-P13)^2</f>
        <v>2.694703286337166E-4</v>
      </c>
      <c r="AA12" s="593">
        <f t="shared" si="14"/>
        <v>2.2197728130465732E-2</v>
      </c>
      <c r="AB12" s="594">
        <v>1</v>
      </c>
      <c r="AC12" s="595"/>
      <c r="AD12" s="595"/>
      <c r="AE12" s="596">
        <f t="shared" si="15"/>
        <v>6785.7077608548898</v>
      </c>
      <c r="AF12" s="597"/>
      <c r="AG12" s="598">
        <f>AG13</f>
        <v>1.1004830744642874E-2</v>
      </c>
      <c r="AH12" s="598">
        <f>AH13</f>
        <v>1.1004830744642874E-2</v>
      </c>
      <c r="AI12" s="593">
        <f t="shared" si="16"/>
        <v>1.2139545409778962E-2</v>
      </c>
      <c r="AJ12" s="599">
        <f t="shared" si="17"/>
        <v>43.207040592837302</v>
      </c>
      <c r="AK12" s="600">
        <f>AJ12/AJ13</f>
        <v>0.23823378075450907</v>
      </c>
      <c r="AL12" s="601">
        <f t="shared" si="18"/>
        <v>-5.2055376305618841</v>
      </c>
      <c r="AM12" s="601">
        <f t="shared" si="19"/>
        <v>-0.12047892100772202</v>
      </c>
      <c r="AN12" s="602">
        <f t="shared" si="20"/>
        <v>0.88649577358599996</v>
      </c>
      <c r="AO12" s="603">
        <f t="shared" si="21"/>
        <v>2.3144376154421838E-2</v>
      </c>
      <c r="AP12" s="604">
        <f t="shared" si="22"/>
        <v>0.15213275832121706</v>
      </c>
      <c r="AQ12" s="605">
        <f t="shared" si="23"/>
        <v>1.9599639845400536</v>
      </c>
      <c r="AR12" s="606">
        <f t="shared" si="24"/>
        <v>-0.41865364818604361</v>
      </c>
      <c r="AS12" s="606">
        <f t="shared" si="25"/>
        <v>0.1776958061705996</v>
      </c>
      <c r="AT12" s="607">
        <f t="shared" si="26"/>
        <v>0.65793203176240866</v>
      </c>
      <c r="AU12" s="607">
        <f t="shared" si="26"/>
        <v>1.1944619180201799</v>
      </c>
      <c r="AV12" s="16"/>
      <c r="AX12" s="53"/>
      <c r="AY12" s="53">
        <v>1</v>
      </c>
      <c r="AZ12" s="54"/>
      <c r="BA12" s="54"/>
      <c r="BC12" s="27"/>
      <c r="BD12" s="27"/>
      <c r="BE12" s="2"/>
      <c r="BF12" s="2"/>
      <c r="BG12" s="2"/>
      <c r="BH12" s="2"/>
      <c r="BI12" s="2"/>
      <c r="BJ12" s="2"/>
      <c r="BK12" s="2"/>
      <c r="BL12" s="2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256">
      <c r="A13" s="5"/>
      <c r="B13" s="55">
        <f>COUNT(D9:D12)</f>
        <v>4</v>
      </c>
      <c r="C13" s="56">
        <f t="shared" ref="C13:H13" si="29">SUM(C9:C12)</f>
        <v>663</v>
      </c>
      <c r="D13" s="56">
        <f t="shared" si="29"/>
        <v>12287</v>
      </c>
      <c r="E13" s="56">
        <f t="shared" si="29"/>
        <v>12950</v>
      </c>
      <c r="F13" s="56">
        <f t="shared" si="29"/>
        <v>760</v>
      </c>
      <c r="G13" s="56">
        <f t="shared" si="29"/>
        <v>12188</v>
      </c>
      <c r="H13" s="56">
        <f t="shared" si="29"/>
        <v>12948</v>
      </c>
      <c r="I13" s="57"/>
      <c r="K13" s="58"/>
      <c r="L13" s="59"/>
      <c r="M13" s="60">
        <f>SUM(M9:M12)</f>
        <v>374.39336167121695</v>
      </c>
      <c r="N13" s="61"/>
      <c r="O13" s="62">
        <f>SUM(O9:O12)</f>
        <v>-51.252381728829334</v>
      </c>
      <c r="P13" s="63">
        <f>O13/M13</f>
        <v>-0.13689447243415045</v>
      </c>
      <c r="Q13" s="488">
        <f>EXP(P13)</f>
        <v>0.87206224788289677</v>
      </c>
      <c r="R13" s="488">
        <f>SQRT(1/M13)</f>
        <v>5.1681597586525928E-2</v>
      </c>
      <c r="S13" s="489">
        <f t="shared" si="10"/>
        <v>1.9599639845400536</v>
      </c>
      <c r="T13" s="490">
        <f>P13-(R13*S13)</f>
        <v>-0.23818854236723341</v>
      </c>
      <c r="U13" s="490">
        <f>P13+(R13*S13)</f>
        <v>-3.5600402501067482E-2</v>
      </c>
      <c r="V13" s="491">
        <f>EXP(T13)</f>
        <v>0.78805409550125449</v>
      </c>
      <c r="W13" s="492">
        <f>EXP(U13)</f>
        <v>0.96502583835802203</v>
      </c>
      <c r="X13" s="65"/>
      <c r="Y13" s="608"/>
      <c r="Z13" s="609"/>
      <c r="AA13" s="610">
        <f>SUM(AA9:AA12)</f>
        <v>6.0212842414801164</v>
      </c>
      <c r="AB13" s="611">
        <f>SUM(AB9:AB12)</f>
        <v>4</v>
      </c>
      <c r="AC13" s="612">
        <f>AA13-(AB13-1)</f>
        <v>3.0212842414801164</v>
      </c>
      <c r="AD13" s="613">
        <f>M13</f>
        <v>374.39336167121695</v>
      </c>
      <c r="AE13" s="613">
        <f>SUM(AE9:AE12)</f>
        <v>37383.823074562184</v>
      </c>
      <c r="AF13" s="614">
        <f>AE13/AD13</f>
        <v>99.85172522207202</v>
      </c>
      <c r="AG13" s="615">
        <f>AC13/(AD13-AF13)</f>
        <v>1.1004830744642874E-2</v>
      </c>
      <c r="AH13" s="615">
        <f>IF(AA13&lt;AB13-1,"0",AG13)</f>
        <v>1.1004830744642874E-2</v>
      </c>
      <c r="AI13" s="609"/>
      <c r="AJ13" s="613">
        <f>SUM(AJ9:AJ12)</f>
        <v>181.3640385338993</v>
      </c>
      <c r="AK13" s="616">
        <f>SUM(AK9:AK12)</f>
        <v>1</v>
      </c>
      <c r="AL13" s="612">
        <f>SUM(AL9:AL12)</f>
        <v>-27.537177738576133</v>
      </c>
      <c r="AM13" s="612">
        <f>AL13/AJ13</f>
        <v>-0.15183372603069309</v>
      </c>
      <c r="AN13" s="617">
        <f>EXP(AM13)</f>
        <v>0.85913112000704717</v>
      </c>
      <c r="AO13" s="618">
        <f>1/AJ13</f>
        <v>5.5137722344724199E-3</v>
      </c>
      <c r="AP13" s="619">
        <f>SQRT(AO13)</f>
        <v>7.4254779202906657E-2</v>
      </c>
      <c r="AQ13" s="605">
        <f t="shared" si="23"/>
        <v>1.9599639845400536</v>
      </c>
      <c r="AR13" s="620">
        <f>AM13-(AQ13*AP13)</f>
        <v>-0.29737041894836391</v>
      </c>
      <c r="AS13" s="620">
        <f t="shared" si="25"/>
        <v>-6.2970331130222656E-3</v>
      </c>
      <c r="AT13" s="621">
        <f>EXP(AR13)</f>
        <v>0.74276882575060676</v>
      </c>
      <c r="AU13" s="621">
        <f>EXP(AS13)</f>
        <v>0.99372275164977253</v>
      </c>
      <c r="AV13" s="75"/>
      <c r="AW13" s="76"/>
      <c r="AX13" s="77">
        <f>AA13</f>
        <v>6.0212842414801164</v>
      </c>
      <c r="AY13" s="55">
        <f>SUM(AY9:AY12)</f>
        <v>4</v>
      </c>
      <c r="AZ13" s="78">
        <f>(AX13-(AY13-1))/AX13</f>
        <v>0.5017674171012797</v>
      </c>
      <c r="BA13" s="79">
        <f>IF(AA13&lt;AB13-1,"0%",AZ13)</f>
        <v>0.5017674171012797</v>
      </c>
      <c r="BB13" s="76"/>
      <c r="BC13" s="62">
        <f>AX13/(AY13-1)</f>
        <v>2.0070947471600387</v>
      </c>
      <c r="BD13" s="80">
        <f>LN(BC13)</f>
        <v>0.69668827705071357</v>
      </c>
      <c r="BE13" s="62">
        <f>LN(AX13)</f>
        <v>1.7953005657188232</v>
      </c>
      <c r="BF13" s="62">
        <f>LN(AY13-1)</f>
        <v>1.0986122886681098</v>
      </c>
      <c r="BG13" s="62">
        <f>SQRT(2*AX13)</f>
        <v>3.4702404070842459</v>
      </c>
      <c r="BH13" s="62">
        <f>SQRT(2*AY13-3)</f>
        <v>2.2360679774997898</v>
      </c>
      <c r="BI13" s="62">
        <f>2*(AY13-2)</f>
        <v>4</v>
      </c>
      <c r="BJ13" s="62">
        <f>3*(AY13-2)^2</f>
        <v>12</v>
      </c>
      <c r="BK13" s="62">
        <f>1/BI13</f>
        <v>0.25</v>
      </c>
      <c r="BL13" s="81">
        <f>1/BJ13</f>
        <v>8.3333333333333329E-2</v>
      </c>
      <c r="BM13" s="81">
        <f>SQRT(BK13*(1-BL13))</f>
        <v>0.47871355387816905</v>
      </c>
      <c r="BN13" s="82">
        <f>0.5*(BE13-BF13)/(BG13-BH13)</f>
        <v>0.28224916565559938</v>
      </c>
      <c r="BO13" s="82">
        <f>IF(AA13&lt;=AB13,BM13,BN13)</f>
        <v>0.28224916565559938</v>
      </c>
      <c r="BP13" s="69">
        <f>BD13-(1.96*BO13)</f>
        <v>0.14347991236573876</v>
      </c>
      <c r="BQ13" s="69">
        <f>BD13+(1.96*BO13)</f>
        <v>1.2498966417356883</v>
      </c>
      <c r="BR13" s="69"/>
      <c r="BS13" s="80">
        <f>EXP(BP13)</f>
        <v>1.1542836237469543</v>
      </c>
      <c r="BT13" s="80">
        <f>EXP(BQ13)</f>
        <v>3.4899822203148094</v>
      </c>
      <c r="BU13" s="83">
        <f>BA13</f>
        <v>0.5017674171012797</v>
      </c>
      <c r="BV13" s="83">
        <f>(BS13-1)/BS13</f>
        <v>0.13366179730258115</v>
      </c>
      <c r="BW13" s="83">
        <f>(BT13-1)/BT13</f>
        <v>0.7134655889708813</v>
      </c>
    </row>
    <row r="14" spans="1:256" ht="13.5" thickBot="1">
      <c r="C14" s="84"/>
      <c r="D14" s="84"/>
      <c r="E14" s="84"/>
      <c r="F14" s="84"/>
      <c r="G14" s="84"/>
      <c r="H14" s="84"/>
      <c r="I14" s="85"/>
      <c r="R14" s="86"/>
      <c r="S14" s="86"/>
      <c r="T14" s="86"/>
      <c r="U14" s="86"/>
      <c r="V14" s="86"/>
      <c r="W14" s="86"/>
      <c r="X14" s="86"/>
      <c r="Y14" s="591"/>
      <c r="Z14" s="591"/>
      <c r="AA14" s="591"/>
      <c r="AB14" s="584"/>
      <c r="AC14" s="622"/>
      <c r="AD14" s="623"/>
      <c r="AE14" s="622"/>
      <c r="AF14" s="624"/>
      <c r="AG14" s="624"/>
      <c r="AH14" s="624"/>
      <c r="AI14" s="624"/>
      <c r="AJ14" s="591"/>
      <c r="AK14" s="591"/>
      <c r="AL14" s="591"/>
      <c r="AM14" s="591"/>
      <c r="AN14" s="591"/>
      <c r="AO14" s="591"/>
      <c r="AP14" s="591"/>
      <c r="AQ14" s="591"/>
      <c r="AR14" s="591"/>
      <c r="AS14" s="591"/>
      <c r="AT14" s="625"/>
      <c r="AU14" s="625"/>
      <c r="AV14" s="91"/>
      <c r="AX14" s="5" t="s">
        <v>59</v>
      </c>
      <c r="BG14" s="10"/>
      <c r="BN14" s="88" t="s">
        <v>60</v>
      </c>
      <c r="BT14" s="92" t="s">
        <v>61</v>
      </c>
      <c r="BU14" s="495">
        <f>BU13</f>
        <v>0.5017674171012797</v>
      </c>
      <c r="BV14" s="495">
        <f>IF(BV13&lt;0,"0%",BV13)</f>
        <v>0.13366179730258115</v>
      </c>
      <c r="BW14" s="496">
        <f>IF(BW13&lt;0,"0%",BW13)</f>
        <v>0.7134655889708813</v>
      </c>
    </row>
    <row r="15" spans="1:256" ht="26.5" thickBot="1">
      <c r="A15" s="5"/>
      <c r="B15" s="5"/>
      <c r="C15" s="93"/>
      <c r="D15" s="93"/>
      <c r="E15" s="93"/>
      <c r="F15" s="93"/>
      <c r="G15" s="93"/>
      <c r="H15" s="93"/>
      <c r="I15" s="94"/>
      <c r="J15" s="5"/>
      <c r="K15" s="5"/>
      <c r="L15" s="5"/>
      <c r="R15" s="95"/>
      <c r="S15" s="95"/>
      <c r="T15" s="95"/>
      <c r="U15" s="95"/>
      <c r="V15" s="95"/>
      <c r="W15" s="95"/>
      <c r="X15" s="95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626"/>
      <c r="AJ15" s="627"/>
      <c r="AK15" s="627"/>
      <c r="AL15" s="628"/>
      <c r="AM15" s="629"/>
      <c r="AN15" s="591"/>
      <c r="AO15" s="630" t="s">
        <v>394</v>
      </c>
      <c r="AP15" s="631">
        <f>TINV((1-$H$1),(AB13-2))</f>
        <v>4.3026527297494619</v>
      </c>
      <c r="AQ15" s="591"/>
      <c r="AR15" s="632" t="s">
        <v>63</v>
      </c>
      <c r="AS15" s="633">
        <f>$H$1</f>
        <v>0.95</v>
      </c>
      <c r="AT15" s="634">
        <f>EXP(AM13-AP15*SQRT((1/AD13)+AH13))</f>
        <v>0.51944120067901189</v>
      </c>
      <c r="AU15" s="634">
        <f>EXP(AM13+AP15*SQRT((1/AD13)+AH13))</f>
        <v>1.4209621423940053</v>
      </c>
      <c r="AV15" s="16"/>
      <c r="AX15" s="102">
        <f>_xlfn.CHISQ.DIST.RT(AX13,AY13-1)</f>
        <v>0.11057927976280944</v>
      </c>
      <c r="AY15" s="103" t="str">
        <f>IF(AX15&lt;0.05,"heterogeneidad","homogeneidad")</f>
        <v>homogeneidad</v>
      </c>
      <c r="BF15" s="104"/>
      <c r="BG15" s="10"/>
      <c r="BH15" s="10"/>
      <c r="BJ15" s="43"/>
      <c r="BL15" s="10"/>
      <c r="BM15" s="105"/>
      <c r="BQ15" s="10"/>
    </row>
    <row r="16" spans="1:256" ht="14.5">
      <c r="A16" s="5"/>
      <c r="B16" s="5"/>
      <c r="C16" s="93"/>
      <c r="D16" s="93"/>
      <c r="E16" s="93"/>
      <c r="F16" s="93"/>
      <c r="G16" s="93"/>
      <c r="H16" s="93"/>
      <c r="I16" s="94"/>
      <c r="J16" s="5"/>
      <c r="K16" s="5"/>
      <c r="L16" s="5"/>
      <c r="R16" s="95"/>
      <c r="S16" s="95"/>
      <c r="T16" s="95"/>
      <c r="U16" s="95"/>
      <c r="V16" s="95"/>
      <c r="W16" s="95"/>
      <c r="X16" s="95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626"/>
      <c r="AJ16" s="627"/>
      <c r="AK16" s="627"/>
      <c r="AL16" s="628"/>
      <c r="AM16" s="629"/>
      <c r="AN16" s="635"/>
      <c r="AO16" s="636"/>
      <c r="AP16" s="637"/>
      <c r="AQ16" s="591"/>
      <c r="AR16" s="591"/>
      <c r="AS16" s="638"/>
      <c r="AT16" s="639"/>
      <c r="AU16" s="639"/>
      <c r="AV16" s="16"/>
      <c r="BF16" s="104"/>
      <c r="BG16" s="10"/>
      <c r="BH16" s="10"/>
      <c r="BJ16" s="43"/>
      <c r="BL16" s="10"/>
      <c r="BM16" s="109"/>
      <c r="BQ16" s="10"/>
    </row>
    <row r="17" spans="1:256" ht="13" customHeight="1">
      <c r="C17" s="84"/>
      <c r="D17" s="84"/>
      <c r="E17" s="84"/>
      <c r="F17" s="84"/>
      <c r="G17" s="84"/>
      <c r="H17" s="84"/>
      <c r="I17" s="85"/>
      <c r="J17" s="668" t="s">
        <v>4</v>
      </c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70"/>
      <c r="X17" s="11"/>
      <c r="Y17" s="671" t="s">
        <v>5</v>
      </c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672"/>
      <c r="AO17" s="672"/>
      <c r="AP17" s="672"/>
      <c r="AQ17" s="672"/>
      <c r="AR17" s="672"/>
      <c r="AS17" s="672"/>
      <c r="AT17" s="672"/>
      <c r="AU17" s="673"/>
      <c r="AV17" s="11"/>
      <c r="AW17" s="668" t="s">
        <v>232</v>
      </c>
      <c r="AX17" s="669"/>
      <c r="AY17" s="669"/>
      <c r="AZ17" s="669"/>
      <c r="BA17" s="669"/>
      <c r="BB17" s="669"/>
      <c r="BC17" s="669"/>
      <c r="BD17" s="669"/>
      <c r="BE17" s="669"/>
      <c r="BF17" s="669"/>
      <c r="BG17" s="669"/>
      <c r="BH17" s="669"/>
      <c r="BI17" s="669"/>
      <c r="BJ17" s="669"/>
      <c r="BK17" s="669"/>
      <c r="BL17" s="669"/>
      <c r="BM17" s="669"/>
      <c r="BN17" s="669"/>
      <c r="BO17" s="669"/>
      <c r="BP17" s="669"/>
      <c r="BQ17" s="669"/>
      <c r="BR17" s="669"/>
      <c r="BS17" s="669"/>
      <c r="BT17" s="669"/>
      <c r="BU17" s="669"/>
      <c r="BV17" s="669"/>
      <c r="BW17" s="670"/>
    </row>
    <row r="18" spans="1:256">
      <c r="A18" s="642" t="s">
        <v>396</v>
      </c>
      <c r="B18" s="12" t="s">
        <v>6</v>
      </c>
      <c r="C18" s="677" t="s">
        <v>7</v>
      </c>
      <c r="D18" s="677"/>
      <c r="E18" s="677"/>
      <c r="F18" s="677" t="s">
        <v>8</v>
      </c>
      <c r="G18" s="677"/>
      <c r="H18" s="677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60">
      <c r="B19" s="503" t="s">
        <v>373</v>
      </c>
      <c r="C19" s="15" t="s">
        <v>9</v>
      </c>
      <c r="D19" s="15" t="s">
        <v>10</v>
      </c>
      <c r="E19" s="15" t="s">
        <v>11</v>
      </c>
      <c r="F19" s="15" t="s">
        <v>9</v>
      </c>
      <c r="G19" s="15" t="s">
        <v>10</v>
      </c>
      <c r="H19" s="15" t="s">
        <v>11</v>
      </c>
      <c r="I19" s="16"/>
      <c r="K19" s="17" t="s">
        <v>12</v>
      </c>
      <c r="L19" s="17" t="s">
        <v>13</v>
      </c>
      <c r="M19" s="17" t="s">
        <v>14</v>
      </c>
      <c r="N19" s="18" t="s">
        <v>15</v>
      </c>
      <c r="O19" s="18" t="s">
        <v>16</v>
      </c>
      <c r="P19" s="18" t="s">
        <v>17</v>
      </c>
      <c r="Q19" s="486" t="s">
        <v>18</v>
      </c>
      <c r="R19" s="486" t="s">
        <v>19</v>
      </c>
      <c r="S19" s="487" t="s">
        <v>3</v>
      </c>
      <c r="T19" s="486" t="s">
        <v>20</v>
      </c>
      <c r="U19" s="486" t="s">
        <v>21</v>
      </c>
      <c r="V19" s="486" t="s">
        <v>22</v>
      </c>
      <c r="W19" s="486" t="s">
        <v>22</v>
      </c>
      <c r="X19" s="19"/>
      <c r="Y19" s="584"/>
      <c r="Z19" s="585" t="s">
        <v>376</v>
      </c>
      <c r="AA19" s="586" t="s">
        <v>377</v>
      </c>
      <c r="AB19" s="587" t="s">
        <v>25</v>
      </c>
      <c r="AC19" s="587" t="s">
        <v>26</v>
      </c>
      <c r="AD19" s="587" t="s">
        <v>378</v>
      </c>
      <c r="AE19" s="586" t="s">
        <v>379</v>
      </c>
      <c r="AF19" s="586" t="s">
        <v>380</v>
      </c>
      <c r="AG19" s="588" t="s">
        <v>381</v>
      </c>
      <c r="AH19" s="588" t="s">
        <v>382</v>
      </c>
      <c r="AI19" s="587" t="s">
        <v>383</v>
      </c>
      <c r="AJ19" s="586" t="s">
        <v>384</v>
      </c>
      <c r="AK19" s="586" t="s">
        <v>385</v>
      </c>
      <c r="AL19" s="586" t="s">
        <v>386</v>
      </c>
      <c r="AM19" s="587" t="s">
        <v>387</v>
      </c>
      <c r="AN19" s="589" t="s">
        <v>388</v>
      </c>
      <c r="AO19" s="586" t="s">
        <v>389</v>
      </c>
      <c r="AP19" s="586" t="s">
        <v>390</v>
      </c>
      <c r="AQ19" s="587" t="s">
        <v>391</v>
      </c>
      <c r="AR19" s="586" t="s">
        <v>392</v>
      </c>
      <c r="AS19" s="586" t="s">
        <v>393</v>
      </c>
      <c r="AT19" s="590" t="s">
        <v>22</v>
      </c>
      <c r="AU19" s="590" t="s">
        <v>22</v>
      </c>
      <c r="AV19" s="19"/>
      <c r="AX19" s="23" t="s">
        <v>42</v>
      </c>
      <c r="AY19" s="23" t="s">
        <v>25</v>
      </c>
      <c r="AZ19" s="24" t="s">
        <v>64</v>
      </c>
      <c r="BA19" s="25" t="s">
        <v>65</v>
      </c>
      <c r="BC19" s="3" t="s">
        <v>66</v>
      </c>
      <c r="BD19" s="3" t="s">
        <v>67</v>
      </c>
      <c r="BE19" s="3" t="s">
        <v>43</v>
      </c>
      <c r="BF19" s="3" t="s">
        <v>44</v>
      </c>
      <c r="BG19" s="3" t="s">
        <v>45</v>
      </c>
      <c r="BH19" s="3" t="s">
        <v>46</v>
      </c>
      <c r="BI19" s="3" t="s">
        <v>47</v>
      </c>
      <c r="BJ19" s="3" t="s">
        <v>68</v>
      </c>
      <c r="BK19" s="3" t="s">
        <v>48</v>
      </c>
      <c r="BL19" s="3" t="s">
        <v>49</v>
      </c>
      <c r="BM19" s="26" t="s">
        <v>69</v>
      </c>
      <c r="BN19" s="26" t="s">
        <v>70</v>
      </c>
      <c r="BO19" s="26" t="s">
        <v>71</v>
      </c>
      <c r="BP19" s="26" t="s">
        <v>72</v>
      </c>
      <c r="BQ19" s="26" t="s">
        <v>73</v>
      </c>
      <c r="BR19" s="27"/>
      <c r="BS19" s="18" t="s">
        <v>74</v>
      </c>
      <c r="BT19" s="18" t="s">
        <v>75</v>
      </c>
      <c r="BU19" s="486" t="s">
        <v>229</v>
      </c>
      <c r="BV19" s="486" t="s">
        <v>230</v>
      </c>
      <c r="BW19" s="486" t="s">
        <v>231</v>
      </c>
    </row>
    <row r="20" spans="1:256">
      <c r="A20" s="5"/>
      <c r="B20" s="583" t="s">
        <v>434</v>
      </c>
      <c r="C20" s="29">
        <v>110</v>
      </c>
      <c r="D20" s="30">
        <v>2092</v>
      </c>
      <c r="E20" s="31">
        <v>2202</v>
      </c>
      <c r="F20" s="29">
        <v>140</v>
      </c>
      <c r="G20" s="30">
        <v>2059</v>
      </c>
      <c r="H20" s="31">
        <v>2199</v>
      </c>
      <c r="I20" s="32"/>
      <c r="K20" s="33">
        <f>(C20/E20)/(F20/H20)</f>
        <v>0.7846438302841573</v>
      </c>
      <c r="L20" s="34">
        <f>(D20/(C20*E20)+(G20/(F20*H20)))</f>
        <v>1.532488146697231E-2</v>
      </c>
      <c r="M20" s="35">
        <f>1/L20</f>
        <v>65.253359522236295</v>
      </c>
      <c r="N20" s="36">
        <f>LN(K20)</f>
        <v>-0.24252538354475212</v>
      </c>
      <c r="O20" s="36">
        <f>M20*N20</f>
        <v>-15.82559604571396</v>
      </c>
      <c r="P20" s="36">
        <f>LN(K20)</f>
        <v>-0.24252538354475212</v>
      </c>
      <c r="Q20" s="37">
        <f>K20</f>
        <v>0.7846438302841573</v>
      </c>
      <c r="R20" s="38">
        <f>SQRT(1/M20)</f>
        <v>0.12379370528008404</v>
      </c>
      <c r="S20" s="39">
        <f>$H$2</f>
        <v>1.9599639845400536</v>
      </c>
      <c r="T20" s="40">
        <f>P20-(R20*S20)</f>
        <v>-0.48515658740648271</v>
      </c>
      <c r="U20" s="40">
        <f>P20+(R20*S20)</f>
        <v>1.0582031697847771E-4</v>
      </c>
      <c r="V20" s="41">
        <f>EXP(T20)</f>
        <v>0.61560079388500055</v>
      </c>
      <c r="W20" s="42">
        <f>EXP(U20)</f>
        <v>1.0001058259161457</v>
      </c>
      <c r="X20" s="43"/>
      <c r="Y20" s="591"/>
      <c r="Z20" s="592">
        <f>(N20-P24)^2</f>
        <v>4.7023307730831732E-3</v>
      </c>
      <c r="AA20" s="593">
        <f>M20*Z20</f>
        <v>0.30684288052847164</v>
      </c>
      <c r="AB20" s="594">
        <v>1</v>
      </c>
      <c r="AC20" s="595"/>
      <c r="AD20" s="595"/>
      <c r="AE20" s="596">
        <f>M20^2</f>
        <v>4258.000928938226</v>
      </c>
      <c r="AF20" s="597"/>
      <c r="AG20" s="598">
        <f>AG24</f>
        <v>-7.1569024423658451E-3</v>
      </c>
      <c r="AH20" s="598" t="str">
        <f>AH24</f>
        <v>0</v>
      </c>
      <c r="AI20" s="593">
        <f>1/M20</f>
        <v>1.5324881466972308E-2</v>
      </c>
      <c r="AJ20" s="599">
        <f>1/(AH20+AI20)</f>
        <v>65.253359522236295</v>
      </c>
      <c r="AK20" s="600">
        <f>AJ20/AJ24</f>
        <v>0.30012092632963305</v>
      </c>
      <c r="AL20" s="601">
        <f>AJ20*N20</f>
        <v>-15.82559604571396</v>
      </c>
      <c r="AM20" s="601">
        <f>AL20/AJ20</f>
        <v>-0.24252538354475212</v>
      </c>
      <c r="AN20" s="602">
        <f>EXP(AM20)</f>
        <v>0.7846438302841573</v>
      </c>
      <c r="AO20" s="603">
        <f>1/AJ20</f>
        <v>1.5324881466972308E-2</v>
      </c>
      <c r="AP20" s="604">
        <f>SQRT(AO20)</f>
        <v>0.12379370528008404</v>
      </c>
      <c r="AQ20" s="605">
        <f>$H$2</f>
        <v>1.9599639845400536</v>
      </c>
      <c r="AR20" s="606">
        <f>AM20-(AQ20*AP20)</f>
        <v>-0.48515658740648271</v>
      </c>
      <c r="AS20" s="606">
        <f>AM20+(1.96*AP20)</f>
        <v>1.1027880421260461E-4</v>
      </c>
      <c r="AT20" s="607">
        <f>EXP(AR20)</f>
        <v>0.61560079388500055</v>
      </c>
      <c r="AU20" s="607">
        <f>EXP(AS20)</f>
        <v>1.0001102848851435</v>
      </c>
      <c r="AV20" s="16"/>
      <c r="AX20" s="53"/>
      <c r="AY20" s="53">
        <v>1</v>
      </c>
      <c r="AZ20" s="54"/>
      <c r="BA20" s="54"/>
      <c r="BC20" s="27"/>
      <c r="BD20" s="27"/>
      <c r="BE20" s="2"/>
      <c r="BF20" s="2"/>
      <c r="BG20" s="2"/>
      <c r="BH20" s="2"/>
      <c r="BI20" s="2"/>
      <c r="BJ20" s="2"/>
      <c r="BK20" s="2"/>
      <c r="BL20" s="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256">
      <c r="A21" s="5"/>
      <c r="B21" s="583" t="s">
        <v>435</v>
      </c>
      <c r="C21" s="29">
        <v>62</v>
      </c>
      <c r="D21" s="30">
        <v>2090</v>
      </c>
      <c r="E21" s="31">
        <v>2152</v>
      </c>
      <c r="F21" s="29">
        <v>80</v>
      </c>
      <c r="G21" s="30">
        <v>2072</v>
      </c>
      <c r="H21" s="31">
        <v>2152</v>
      </c>
      <c r="I21" s="32"/>
      <c r="K21" s="33">
        <f t="shared" ref="K21:K23" si="30">(C21/E21)/(F21/H21)</f>
        <v>0.77499999999999991</v>
      </c>
      <c r="L21" s="34">
        <f t="shared" ref="L21:L23" si="31">(D21/(C21*E21)+(G21/(F21*H21)))</f>
        <v>2.769966422832474E-2</v>
      </c>
      <c r="M21" s="35">
        <f t="shared" ref="M21:M23" si="32">1/L21</f>
        <v>36.101520645056553</v>
      </c>
      <c r="N21" s="36">
        <f t="shared" ref="N21:N23" si="33">LN(K21)</f>
        <v>-0.25489224962879015</v>
      </c>
      <c r="O21" s="36">
        <f t="shared" ref="O21:O23" si="34">M21*N21</f>
        <v>-9.2019978122386767</v>
      </c>
      <c r="P21" s="36">
        <f t="shared" ref="P21:P23" si="35">LN(K21)</f>
        <v>-0.25489224962879015</v>
      </c>
      <c r="Q21" s="37">
        <f t="shared" ref="Q21:Q23" si="36">K21</f>
        <v>0.77499999999999991</v>
      </c>
      <c r="R21" s="38">
        <f t="shared" ref="R21:R23" si="37">SQRT(1/M21)</f>
        <v>0.16643216103964023</v>
      </c>
      <c r="S21" s="39">
        <f t="shared" ref="S21:S24" si="38">$H$2</f>
        <v>1.9599639845400536</v>
      </c>
      <c r="T21" s="40">
        <f t="shared" ref="T21:T23" si="39">P21-(R21*S21)</f>
        <v>-0.58109329113565522</v>
      </c>
      <c r="U21" s="40">
        <f t="shared" ref="U21:U23" si="40">P21+(R21*S21)</f>
        <v>7.1308791878074984E-2</v>
      </c>
      <c r="V21" s="41">
        <f t="shared" ref="V21:W23" si="41">EXP(T21)</f>
        <v>0.55928656914165775</v>
      </c>
      <c r="W21" s="42">
        <f t="shared" si="41"/>
        <v>1.0739127902209142</v>
      </c>
      <c r="X21" s="43"/>
      <c r="Y21" s="591"/>
      <c r="Z21" s="592">
        <f>(N21-P24)^2</f>
        <v>6.5513497914244821E-3</v>
      </c>
      <c r="AA21" s="593">
        <f t="shared" ref="AA21:AA23" si="42">M21*Z21</f>
        <v>0.23651368974809789</v>
      </c>
      <c r="AB21" s="594">
        <v>1</v>
      </c>
      <c r="AC21" s="595"/>
      <c r="AD21" s="595"/>
      <c r="AE21" s="596">
        <f t="shared" ref="AE21:AE23" si="43">M21^2</f>
        <v>1303.3197928854445</v>
      </c>
      <c r="AF21" s="597"/>
      <c r="AG21" s="598">
        <f>AG24</f>
        <v>-7.1569024423658451E-3</v>
      </c>
      <c r="AH21" s="598" t="str">
        <f>AH24</f>
        <v>0</v>
      </c>
      <c r="AI21" s="593">
        <f t="shared" ref="AI21:AI23" si="44">1/M21</f>
        <v>2.7699664228324736E-2</v>
      </c>
      <c r="AJ21" s="599">
        <f t="shared" ref="AJ21:AJ23" si="45">1/(AH21+AI21)</f>
        <v>36.101520645056553</v>
      </c>
      <c r="AK21" s="600">
        <f>AJ21/AJ24</f>
        <v>0.16604236007512496</v>
      </c>
      <c r="AL21" s="601">
        <f t="shared" ref="AL21:AL23" si="46">AJ21*N21</f>
        <v>-9.2019978122386767</v>
      </c>
      <c r="AM21" s="601">
        <f t="shared" ref="AM21:AM23" si="47">AL21/AJ21</f>
        <v>-0.25489224962879015</v>
      </c>
      <c r="AN21" s="602">
        <f t="shared" ref="AN21:AN23" si="48">EXP(AM21)</f>
        <v>0.77499999999999991</v>
      </c>
      <c r="AO21" s="603">
        <f t="shared" ref="AO21:AO23" si="49">1/AJ21</f>
        <v>2.7699664228324736E-2</v>
      </c>
      <c r="AP21" s="604">
        <f t="shared" ref="AP21:AP23" si="50">SQRT(AO21)</f>
        <v>0.16643216103964023</v>
      </c>
      <c r="AQ21" s="605">
        <f t="shared" ref="AQ21:AQ24" si="51">$H$2</f>
        <v>1.9599639845400536</v>
      </c>
      <c r="AR21" s="606">
        <f t="shared" ref="AR21:AR23" si="52">AM21-(AQ21*AP21)</f>
        <v>-0.58109329113565522</v>
      </c>
      <c r="AS21" s="606">
        <f t="shared" ref="AS21:AS23" si="53">AM21+(1.96*AP21)</f>
        <v>7.1314786008904674E-2</v>
      </c>
      <c r="AT21" s="607">
        <f t="shared" ref="AT21:AU23" si="54">EXP(AR21)</f>
        <v>0.55928656914165775</v>
      </c>
      <c r="AU21" s="607">
        <f t="shared" si="54"/>
        <v>1.0739192274139713</v>
      </c>
      <c r="AV21" s="16"/>
      <c r="AX21" s="53"/>
      <c r="AY21" s="53">
        <v>1</v>
      </c>
      <c r="AZ21" s="54"/>
      <c r="BA21" s="54"/>
      <c r="BC21" s="27"/>
      <c r="BD21" s="27"/>
      <c r="BE21" s="2"/>
      <c r="BF21" s="2"/>
      <c r="BG21" s="2"/>
      <c r="BH21" s="2"/>
      <c r="BI21" s="2"/>
      <c r="BJ21" s="2"/>
      <c r="BK21" s="2"/>
      <c r="BL21" s="2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256">
      <c r="A22" s="5"/>
      <c r="B22" s="583" t="s">
        <v>436</v>
      </c>
      <c r="C22" s="29">
        <v>155</v>
      </c>
      <c r="D22" s="30">
        <v>5137</v>
      </c>
      <c r="E22" s="31">
        <v>5292</v>
      </c>
      <c r="F22" s="29">
        <v>170</v>
      </c>
      <c r="G22" s="30">
        <v>5122</v>
      </c>
      <c r="H22" s="31">
        <v>5292</v>
      </c>
      <c r="I22" s="32"/>
      <c r="K22" s="33">
        <f t="shared" si="30"/>
        <v>0.91176470588235292</v>
      </c>
      <c r="L22" s="34">
        <f t="shared" si="31"/>
        <v>1.1956036895044757E-2</v>
      </c>
      <c r="M22" s="35">
        <f t="shared" si="32"/>
        <v>83.639755278310943</v>
      </c>
      <c r="N22" s="36">
        <f t="shared" si="33"/>
        <v>-9.2373320131015166E-2</v>
      </c>
      <c r="O22" s="36">
        <f t="shared" si="34"/>
        <v>-7.726081890003182</v>
      </c>
      <c r="P22" s="36">
        <f t="shared" si="35"/>
        <v>-9.2373320131015166E-2</v>
      </c>
      <c r="Q22" s="37">
        <f t="shared" si="36"/>
        <v>0.91176470588235292</v>
      </c>
      <c r="R22" s="38">
        <f t="shared" si="37"/>
        <v>0.1093436641742207</v>
      </c>
      <c r="S22" s="39">
        <f t="shared" si="38"/>
        <v>1.9599639845400536</v>
      </c>
      <c r="T22" s="40">
        <f t="shared" si="39"/>
        <v>-0.30668296385013027</v>
      </c>
      <c r="U22" s="40">
        <f t="shared" si="40"/>
        <v>0.12193632358809996</v>
      </c>
      <c r="V22" s="41">
        <f t="shared" si="41"/>
        <v>0.73588386571614894</v>
      </c>
      <c r="W22" s="42">
        <f t="shared" si="41"/>
        <v>1.1296821653831381</v>
      </c>
      <c r="X22" s="43"/>
      <c r="Y22" s="591"/>
      <c r="Z22" s="592">
        <f>(N22-P24)^2</f>
        <v>6.6550550244079409E-3</v>
      </c>
      <c r="AA22" s="593">
        <f t="shared" si="42"/>
        <v>0.55662717360517389</v>
      </c>
      <c r="AB22" s="594">
        <v>1</v>
      </c>
      <c r="AC22" s="595"/>
      <c r="AD22" s="595"/>
      <c r="AE22" s="596">
        <f t="shared" si="43"/>
        <v>6995.6086630157433</v>
      </c>
      <c r="AF22" s="597"/>
      <c r="AG22" s="598">
        <f>AG24</f>
        <v>-7.1569024423658451E-3</v>
      </c>
      <c r="AH22" s="598" t="str">
        <f>AH24</f>
        <v>0</v>
      </c>
      <c r="AI22" s="593">
        <f t="shared" si="44"/>
        <v>1.1956036895044755E-2</v>
      </c>
      <c r="AJ22" s="599">
        <f t="shared" si="45"/>
        <v>83.639755278310943</v>
      </c>
      <c r="AK22" s="600">
        <f>AJ22/AJ24</f>
        <v>0.38468580033119226</v>
      </c>
      <c r="AL22" s="601">
        <f t="shared" si="46"/>
        <v>-7.726081890003182</v>
      </c>
      <c r="AM22" s="601">
        <f t="shared" si="47"/>
        <v>-9.2373320131015166E-2</v>
      </c>
      <c r="AN22" s="602">
        <f t="shared" si="48"/>
        <v>0.91176470588235292</v>
      </c>
      <c r="AO22" s="603">
        <f t="shared" si="49"/>
        <v>1.1956036895044755E-2</v>
      </c>
      <c r="AP22" s="604">
        <f t="shared" si="50"/>
        <v>0.1093436641742207</v>
      </c>
      <c r="AQ22" s="605">
        <f t="shared" si="51"/>
        <v>1.9599639845400536</v>
      </c>
      <c r="AR22" s="606">
        <f t="shared" si="52"/>
        <v>-0.30668296385013027</v>
      </c>
      <c r="AS22" s="606">
        <f t="shared" si="53"/>
        <v>0.12194026165045739</v>
      </c>
      <c r="AT22" s="607">
        <f t="shared" si="54"/>
        <v>0.73588386571614894</v>
      </c>
      <c r="AU22" s="607">
        <f t="shared" si="54"/>
        <v>1.1296866141507091</v>
      </c>
      <c r="AV22" s="16"/>
      <c r="AX22" s="53"/>
      <c r="AY22" s="53">
        <v>1</v>
      </c>
      <c r="AZ22" s="54"/>
      <c r="BA22" s="54"/>
      <c r="BC22" s="27"/>
      <c r="BD22" s="27"/>
      <c r="BE22" s="2"/>
      <c r="BF22" s="2"/>
      <c r="BG22" s="2"/>
      <c r="BH22" s="2"/>
      <c r="BI22" s="2"/>
      <c r="BJ22" s="2"/>
      <c r="BK22" s="2"/>
      <c r="BL22" s="2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256">
      <c r="A23" s="5"/>
      <c r="B23" s="583" t="s">
        <v>437</v>
      </c>
      <c r="C23" s="29">
        <v>59</v>
      </c>
      <c r="D23" s="30">
        <v>3245</v>
      </c>
      <c r="E23" s="31">
        <v>3304</v>
      </c>
      <c r="F23" s="29">
        <v>69</v>
      </c>
      <c r="G23" s="30">
        <v>3236</v>
      </c>
      <c r="H23" s="31">
        <v>3305</v>
      </c>
      <c r="I23" s="32"/>
      <c r="K23" s="33">
        <f t="shared" si="30"/>
        <v>0.85533126293995854</v>
      </c>
      <c r="L23" s="34">
        <f t="shared" si="31"/>
        <v>3.0836670866487684E-2</v>
      </c>
      <c r="M23" s="35">
        <f t="shared" si="32"/>
        <v>32.428922185850105</v>
      </c>
      <c r="N23" s="36">
        <f t="shared" si="33"/>
        <v>-0.15626644304662202</v>
      </c>
      <c r="O23" s="36">
        <f t="shared" si="34"/>
        <v>-5.067552321818483</v>
      </c>
      <c r="P23" s="36">
        <f t="shared" si="35"/>
        <v>-0.15626644304662202</v>
      </c>
      <c r="Q23" s="37">
        <f t="shared" si="36"/>
        <v>0.85533126293995854</v>
      </c>
      <c r="R23" s="38">
        <f t="shared" si="37"/>
        <v>0.17560373249588884</v>
      </c>
      <c r="S23" s="39">
        <f t="shared" si="38"/>
        <v>1.9599639845400536</v>
      </c>
      <c r="T23" s="40">
        <f t="shared" si="39"/>
        <v>-0.50044343428936999</v>
      </c>
      <c r="U23" s="40">
        <f t="shared" si="40"/>
        <v>0.18791054819612596</v>
      </c>
      <c r="V23" s="41">
        <f t="shared" si="41"/>
        <v>0.60626176284401478</v>
      </c>
      <c r="W23" s="42">
        <f t="shared" si="41"/>
        <v>1.2067255667428525</v>
      </c>
      <c r="X23" s="43"/>
      <c r="Y23" s="591"/>
      <c r="Z23" s="592">
        <f>(N23-P264)^2</f>
        <v>2.4419201222443163E-2</v>
      </c>
      <c r="AA23" s="593">
        <f t="shared" si="42"/>
        <v>0.79188837628322506</v>
      </c>
      <c r="AB23" s="594">
        <v>1</v>
      </c>
      <c r="AC23" s="595"/>
      <c r="AD23" s="595"/>
      <c r="AE23" s="596">
        <f t="shared" si="43"/>
        <v>1051.6349941359213</v>
      </c>
      <c r="AF23" s="597"/>
      <c r="AG23" s="598">
        <f>AG24</f>
        <v>-7.1569024423658451E-3</v>
      </c>
      <c r="AH23" s="598" t="str">
        <f>AH24</f>
        <v>0</v>
      </c>
      <c r="AI23" s="593">
        <f t="shared" si="44"/>
        <v>3.0836670866487684E-2</v>
      </c>
      <c r="AJ23" s="599">
        <f t="shared" si="45"/>
        <v>32.428922185850105</v>
      </c>
      <c r="AK23" s="600">
        <f>AJ23/AJ24</f>
        <v>0.14915091326404978</v>
      </c>
      <c r="AL23" s="601">
        <f t="shared" si="46"/>
        <v>-5.067552321818483</v>
      </c>
      <c r="AM23" s="601">
        <f t="shared" si="47"/>
        <v>-0.15626644304662202</v>
      </c>
      <c r="AN23" s="602">
        <f t="shared" si="48"/>
        <v>0.85533126293995854</v>
      </c>
      <c r="AO23" s="603">
        <f t="shared" si="49"/>
        <v>3.0836670866487684E-2</v>
      </c>
      <c r="AP23" s="604">
        <f t="shared" si="50"/>
        <v>0.17560373249588884</v>
      </c>
      <c r="AQ23" s="605">
        <f t="shared" si="51"/>
        <v>1.9599639845400536</v>
      </c>
      <c r="AR23" s="606">
        <f t="shared" si="52"/>
        <v>-0.50044343428936999</v>
      </c>
      <c r="AS23" s="606">
        <f t="shared" si="53"/>
        <v>0.18791687264532009</v>
      </c>
      <c r="AT23" s="607">
        <f t="shared" si="54"/>
        <v>0.60626176284401478</v>
      </c>
      <c r="AU23" s="607">
        <f t="shared" si="54"/>
        <v>1.2067331986415244</v>
      </c>
      <c r="AV23" s="16"/>
      <c r="AX23" s="53"/>
      <c r="AY23" s="53">
        <v>1</v>
      </c>
      <c r="AZ23" s="54"/>
      <c r="BA23" s="54"/>
      <c r="BC23" s="27"/>
      <c r="BD23" s="27"/>
      <c r="BE23" s="2"/>
      <c r="BF23" s="2"/>
      <c r="BG23" s="2"/>
      <c r="BH23" s="2"/>
      <c r="BI23" s="2"/>
      <c r="BJ23" s="2"/>
      <c r="BK23" s="2"/>
      <c r="BL23" s="2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256">
      <c r="A24" s="5"/>
      <c r="B24" s="55">
        <f>COUNT(D20:D23)</f>
        <v>4</v>
      </c>
      <c r="C24" s="56">
        <f t="shared" ref="C24:H24" si="55">SUM(C20:C23)</f>
        <v>386</v>
      </c>
      <c r="D24" s="56">
        <f t="shared" si="55"/>
        <v>12564</v>
      </c>
      <c r="E24" s="56">
        <f t="shared" si="55"/>
        <v>12950</v>
      </c>
      <c r="F24" s="56">
        <f t="shared" si="55"/>
        <v>459</v>
      </c>
      <c r="G24" s="56">
        <f t="shared" si="55"/>
        <v>12489</v>
      </c>
      <c r="H24" s="56">
        <f t="shared" si="55"/>
        <v>12948</v>
      </c>
      <c r="I24" s="57"/>
      <c r="K24" s="58"/>
      <c r="L24" s="59"/>
      <c r="M24" s="60">
        <f>SUM(M20:M23)</f>
        <v>217.42355763145389</v>
      </c>
      <c r="N24" s="61"/>
      <c r="O24" s="62">
        <f>SUM(O20:O23)</f>
        <v>-37.8212280697743</v>
      </c>
      <c r="P24" s="63">
        <f>O24/M24</f>
        <v>-0.17395184073790004</v>
      </c>
      <c r="Q24" s="488">
        <f>EXP(P24)</f>
        <v>0.84033736671143955</v>
      </c>
      <c r="R24" s="488">
        <f>SQRT(1/M24)</f>
        <v>6.7818269085546223E-2</v>
      </c>
      <c r="S24" s="489">
        <f t="shared" si="38"/>
        <v>1.9599639845400536</v>
      </c>
      <c r="T24" s="490">
        <f>P24-(R24*S24)</f>
        <v>-0.30687320563941678</v>
      </c>
      <c r="U24" s="490">
        <f>P24+(R24*S24)</f>
        <v>-4.1030475836383334E-2</v>
      </c>
      <c r="V24" s="491">
        <f>EXP(T24)</f>
        <v>0.73574388316851536</v>
      </c>
      <c r="W24" s="492">
        <f>EXP(U24)</f>
        <v>0.95979987879800754</v>
      </c>
      <c r="X24" s="65"/>
      <c r="Y24" s="608"/>
      <c r="Z24" s="609"/>
      <c r="AA24" s="610">
        <f>SUM(AA20:AA23)</f>
        <v>1.8918721201649684</v>
      </c>
      <c r="AB24" s="611">
        <f>SUM(AB20:AB23)</f>
        <v>4</v>
      </c>
      <c r="AC24" s="612">
        <f>AA24-(AB24-1)</f>
        <v>-1.1081278798350316</v>
      </c>
      <c r="AD24" s="613">
        <f>M24</f>
        <v>217.42355763145389</v>
      </c>
      <c r="AE24" s="613">
        <f>SUM(AE20:AE23)</f>
        <v>13608.564378975334</v>
      </c>
      <c r="AF24" s="614">
        <f>AE24/AD24</f>
        <v>62.590109955070623</v>
      </c>
      <c r="AG24" s="615">
        <f>AC24/(AD24-AF24)</f>
        <v>-7.1569024423658451E-3</v>
      </c>
      <c r="AH24" s="615" t="str">
        <f>IF(AA24&lt;AB24-1,"0",AG24)</f>
        <v>0</v>
      </c>
      <c r="AI24" s="609"/>
      <c r="AJ24" s="613">
        <f>SUM(AJ20:AJ23)</f>
        <v>217.42355763145389</v>
      </c>
      <c r="AK24" s="616">
        <f>SUM(AK20:AK23)</f>
        <v>1</v>
      </c>
      <c r="AL24" s="612">
        <f>SUM(AL20:AL23)</f>
        <v>-37.8212280697743</v>
      </c>
      <c r="AM24" s="612">
        <f>AL24/AJ24</f>
        <v>-0.17395184073790004</v>
      </c>
      <c r="AN24" s="617">
        <f>EXP(AM24)</f>
        <v>0.84033736671143955</v>
      </c>
      <c r="AO24" s="618">
        <f>1/AJ24</f>
        <v>4.5993176217595548E-3</v>
      </c>
      <c r="AP24" s="619">
        <f>SQRT(AO24)</f>
        <v>6.7818269085546223E-2</v>
      </c>
      <c r="AQ24" s="605">
        <f t="shared" si="51"/>
        <v>1.9599639845400536</v>
      </c>
      <c r="AR24" s="620">
        <f>AM24-(AQ24*AP24)</f>
        <v>-0.30687320563941678</v>
      </c>
      <c r="AS24" s="620">
        <f>AM24+(1.96*AP24)</f>
        <v>-4.1028033330229446E-2</v>
      </c>
      <c r="AT24" s="621">
        <f>EXP(AR24)</f>
        <v>0.73574388316851536</v>
      </c>
      <c r="AU24" s="621">
        <f>EXP(AS24)</f>
        <v>0.95980222311798102</v>
      </c>
      <c r="AV24" s="75"/>
      <c r="AW24" s="76"/>
      <c r="AX24" s="77">
        <f>AA24</f>
        <v>1.8918721201649684</v>
      </c>
      <c r="AY24" s="55">
        <f>SUM(AY20:AY23)</f>
        <v>4</v>
      </c>
      <c r="AZ24" s="78">
        <f>(AX24-(AY24-1))/AX24</f>
        <v>-0.58573085782267598</v>
      </c>
      <c r="BA24" s="79" t="str">
        <f>IF(AA24&lt;AB24-1,"0%",AZ24)</f>
        <v>0%</v>
      </c>
      <c r="BB24" s="76"/>
      <c r="BC24" s="62">
        <f>AX24/(AY24-1)</f>
        <v>0.63062404005498951</v>
      </c>
      <c r="BD24" s="80">
        <f>LN(BC24)</f>
        <v>-0.46104541008753003</v>
      </c>
      <c r="BE24" s="62">
        <f>LN(AX24)</f>
        <v>0.63756687858057959</v>
      </c>
      <c r="BF24" s="62">
        <f>LN(AY24-1)</f>
        <v>1.0986122886681098</v>
      </c>
      <c r="BG24" s="62">
        <f>SQRT(2*AX24)</f>
        <v>1.945184885899008</v>
      </c>
      <c r="BH24" s="62">
        <f>SQRT(2*AY24-3)</f>
        <v>2.2360679774997898</v>
      </c>
      <c r="BI24" s="62">
        <f>2*(AY24-2)</f>
        <v>4</v>
      </c>
      <c r="BJ24" s="62">
        <f>3*(AY24-2)^2</f>
        <v>12</v>
      </c>
      <c r="BK24" s="62">
        <f>1/BI24</f>
        <v>0.25</v>
      </c>
      <c r="BL24" s="81">
        <f>1/BJ24</f>
        <v>8.3333333333333329E-2</v>
      </c>
      <c r="BM24" s="81">
        <f>SQRT(BK24*(1-BL24))</f>
        <v>0.47871355387816905</v>
      </c>
      <c r="BN24" s="82">
        <f>0.5*(BE24-BF24)/(BG24-BH24)</f>
        <v>0.79249262573206747</v>
      </c>
      <c r="BO24" s="82">
        <f>IF(AA24&lt;=AB24,BM24,BN24)</f>
        <v>0.47871355387816905</v>
      </c>
      <c r="BP24" s="69">
        <f>BD24-(1.96*BO24)</f>
        <v>-1.3993239756887415</v>
      </c>
      <c r="BQ24" s="69">
        <f>BD24+(1.96*BO24)</f>
        <v>0.47723315551368134</v>
      </c>
      <c r="BR24" s="69"/>
      <c r="BS24" s="80">
        <f>EXP(BP24)</f>
        <v>0.2467637258455132</v>
      </c>
      <c r="BT24" s="80">
        <f>EXP(BQ24)</f>
        <v>1.6116091558134817</v>
      </c>
      <c r="BU24" s="83" t="str">
        <f>BA24</f>
        <v>0%</v>
      </c>
      <c r="BV24" s="83">
        <f>(BS24-1)/BS24</f>
        <v>-3.0524594795024753</v>
      </c>
      <c r="BW24" s="83">
        <f>(BT24-1)/BT24</f>
        <v>0.37950216006607612</v>
      </c>
    </row>
    <row r="25" spans="1:256" ht="13.5" thickBot="1">
      <c r="C25" s="84"/>
      <c r="D25" s="84"/>
      <c r="E25" s="84"/>
      <c r="F25" s="84"/>
      <c r="G25" s="84"/>
      <c r="H25" s="84"/>
      <c r="I25" s="85"/>
      <c r="R25" s="86"/>
      <c r="S25" s="86"/>
      <c r="T25" s="86"/>
      <c r="U25" s="86"/>
      <c r="V25" s="86"/>
      <c r="W25" s="86"/>
      <c r="X25" s="86"/>
      <c r="Y25" s="591"/>
      <c r="Z25" s="591"/>
      <c r="AA25" s="591"/>
      <c r="AB25" s="584"/>
      <c r="AC25" s="622"/>
      <c r="AD25" s="623"/>
      <c r="AE25" s="622"/>
      <c r="AF25" s="624"/>
      <c r="AG25" s="624"/>
      <c r="AH25" s="624"/>
      <c r="AI25" s="624"/>
      <c r="AJ25" s="591"/>
      <c r="AK25" s="591"/>
      <c r="AL25" s="591"/>
      <c r="AM25" s="591"/>
      <c r="AN25" s="591"/>
      <c r="AO25" s="591"/>
      <c r="AP25" s="591"/>
      <c r="AQ25" s="591"/>
      <c r="AR25" s="591"/>
      <c r="AS25" s="591"/>
      <c r="AT25" s="625"/>
      <c r="AU25" s="625"/>
      <c r="AV25" s="91"/>
      <c r="AX25" s="5" t="s">
        <v>59</v>
      </c>
      <c r="BG25" s="10"/>
      <c r="BN25" s="88" t="s">
        <v>60</v>
      </c>
      <c r="BT25" s="92" t="s">
        <v>61</v>
      </c>
      <c r="BU25" s="495" t="str">
        <f>BU24</f>
        <v>0%</v>
      </c>
      <c r="BV25" s="495" t="str">
        <f>IF(BV24&lt;0,"0%",BV24)</f>
        <v>0%</v>
      </c>
      <c r="BW25" s="496">
        <f>IF(BW24&lt;0,"0%",BW24)</f>
        <v>0.37950216006607612</v>
      </c>
    </row>
    <row r="26" spans="1:256" ht="26.5" thickBot="1">
      <c r="A26" s="5"/>
      <c r="B26" s="5"/>
      <c r="C26" s="93"/>
      <c r="D26" s="93"/>
      <c r="E26" s="93"/>
      <c r="F26" s="93"/>
      <c r="G26" s="93"/>
      <c r="H26" s="93"/>
      <c r="I26" s="94"/>
      <c r="J26" s="5"/>
      <c r="K26" s="5"/>
      <c r="L26" s="5"/>
      <c r="R26" s="95"/>
      <c r="S26" s="95"/>
      <c r="T26" s="95"/>
      <c r="U26" s="95"/>
      <c r="V26" s="95"/>
      <c r="W26" s="95"/>
      <c r="X26" s="95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626"/>
      <c r="AJ26" s="627"/>
      <c r="AK26" s="627"/>
      <c r="AL26" s="628"/>
      <c r="AM26" s="629"/>
      <c r="AN26" s="591"/>
      <c r="AO26" s="630" t="s">
        <v>394</v>
      </c>
      <c r="AP26" s="631">
        <f>TINV((1-$H$1),(AB24-2))</f>
        <v>4.3026527297494619</v>
      </c>
      <c r="AQ26" s="591"/>
      <c r="AR26" s="632" t="s">
        <v>63</v>
      </c>
      <c r="AS26" s="633">
        <f>$H$1</f>
        <v>0.95</v>
      </c>
      <c r="AT26" s="621">
        <f>EXP(AM24-AP26*SQRT((1/AD24)+AH24))</f>
        <v>0.62766399133571038</v>
      </c>
      <c r="AU26" s="621">
        <f>EXP(AM24+AP26*SQRT((1/AD24)+AH24))</f>
        <v>1.1250715345144251</v>
      </c>
      <c r="AV26" s="16"/>
      <c r="AX26" s="102">
        <f>_xlfn.CHISQ.DIST.RT(AX24,AY24-1)</f>
        <v>0.59514940024139551</v>
      </c>
      <c r="AY26" s="103" t="str">
        <f>IF(AX26&lt;0.05,"heterogeneidad","homogeneidad")</f>
        <v>homogeneidad</v>
      </c>
      <c r="BF26" s="104"/>
      <c r="BG26" s="10"/>
      <c r="BH26" s="10"/>
      <c r="BJ26" s="43"/>
      <c r="BL26" s="10"/>
      <c r="BM26" s="105"/>
      <c r="BQ26" s="10"/>
    </row>
    <row r="27" spans="1:256" ht="14.5">
      <c r="A27" s="5"/>
      <c r="B27" s="5"/>
      <c r="C27" s="93"/>
      <c r="D27" s="93"/>
      <c r="E27" s="93"/>
      <c r="F27" s="93"/>
      <c r="G27" s="93"/>
      <c r="H27" s="93"/>
      <c r="I27" s="94"/>
      <c r="J27" s="5"/>
      <c r="K27" s="5"/>
      <c r="L27" s="5"/>
      <c r="R27" s="95"/>
      <c r="S27" s="95"/>
      <c r="T27" s="95"/>
      <c r="U27" s="95"/>
      <c r="V27" s="95"/>
      <c r="W27" s="95"/>
      <c r="X27" s="95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626"/>
      <c r="AJ27" s="627"/>
      <c r="AK27" s="627"/>
      <c r="AL27" s="628"/>
      <c r="AM27" s="629"/>
      <c r="AN27" s="635"/>
      <c r="AO27" s="636"/>
      <c r="AP27" s="637"/>
      <c r="AQ27" s="591"/>
      <c r="AR27" s="591"/>
      <c r="AS27" s="638"/>
      <c r="AT27" s="639"/>
      <c r="AU27" s="639"/>
      <c r="AV27" s="16"/>
      <c r="BF27" s="104"/>
      <c r="BG27" s="10"/>
      <c r="BH27" s="10"/>
      <c r="BJ27" s="43"/>
      <c r="BL27" s="10"/>
      <c r="BM27" s="109"/>
      <c r="BQ27" s="10"/>
    </row>
    <row r="28" spans="1:256" ht="13" customHeight="1">
      <c r="C28" s="84"/>
      <c r="D28" s="84"/>
      <c r="E28" s="84"/>
      <c r="F28" s="84"/>
      <c r="G28" s="84"/>
      <c r="H28" s="84"/>
      <c r="I28" s="85"/>
      <c r="J28" s="668" t="s">
        <v>4</v>
      </c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70"/>
      <c r="X28" s="11"/>
      <c r="Y28" s="671" t="s">
        <v>5</v>
      </c>
      <c r="Z28" s="672"/>
      <c r="AA28" s="672"/>
      <c r="AB28" s="672"/>
      <c r="AC28" s="672"/>
      <c r="AD28" s="672"/>
      <c r="AE28" s="672"/>
      <c r="AF28" s="672"/>
      <c r="AG28" s="672"/>
      <c r="AH28" s="672"/>
      <c r="AI28" s="672"/>
      <c r="AJ28" s="672"/>
      <c r="AK28" s="672"/>
      <c r="AL28" s="672"/>
      <c r="AM28" s="672"/>
      <c r="AN28" s="672"/>
      <c r="AO28" s="672"/>
      <c r="AP28" s="672"/>
      <c r="AQ28" s="672"/>
      <c r="AR28" s="672"/>
      <c r="AS28" s="672"/>
      <c r="AT28" s="672"/>
      <c r="AU28" s="673"/>
      <c r="AV28" s="11"/>
      <c r="AW28" s="668" t="s">
        <v>232</v>
      </c>
      <c r="AX28" s="669"/>
      <c r="AY28" s="669"/>
      <c r="AZ28" s="669"/>
      <c r="BA28" s="669"/>
      <c r="BB28" s="669"/>
      <c r="BC28" s="669"/>
      <c r="BD28" s="669"/>
      <c r="BE28" s="669"/>
      <c r="BF28" s="669"/>
      <c r="BG28" s="669"/>
      <c r="BH28" s="669"/>
      <c r="BI28" s="669"/>
      <c r="BJ28" s="669"/>
      <c r="BK28" s="669"/>
      <c r="BL28" s="669"/>
      <c r="BM28" s="669"/>
      <c r="BN28" s="669"/>
      <c r="BO28" s="669"/>
      <c r="BP28" s="669"/>
      <c r="BQ28" s="669"/>
      <c r="BR28" s="669"/>
      <c r="BS28" s="669"/>
      <c r="BT28" s="669"/>
      <c r="BU28" s="669"/>
      <c r="BV28" s="669"/>
      <c r="BW28" s="670"/>
    </row>
    <row r="29" spans="1:256">
      <c r="A29" s="643" t="s">
        <v>397</v>
      </c>
      <c r="B29" s="12" t="s">
        <v>6</v>
      </c>
      <c r="C29" s="677" t="s">
        <v>7</v>
      </c>
      <c r="D29" s="677"/>
      <c r="E29" s="677"/>
      <c r="F29" s="677" t="s">
        <v>8</v>
      </c>
      <c r="G29" s="677"/>
      <c r="H29" s="677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640"/>
      <c r="Z29" s="640"/>
      <c r="AA29" s="640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  <c r="AM29" s="640"/>
      <c r="AN29" s="640"/>
      <c r="AO29" s="640"/>
      <c r="AP29" s="640"/>
      <c r="AQ29" s="640"/>
      <c r="AR29" s="640"/>
      <c r="AS29" s="640"/>
      <c r="AT29" s="640"/>
      <c r="AU29" s="640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>
      <c r="B30" s="503" t="s">
        <v>374</v>
      </c>
      <c r="C30" s="15" t="s">
        <v>9</v>
      </c>
      <c r="D30" s="15" t="s">
        <v>10</v>
      </c>
      <c r="E30" s="15" t="s">
        <v>11</v>
      </c>
      <c r="F30" s="15" t="s">
        <v>9</v>
      </c>
      <c r="G30" s="15" t="s">
        <v>10</v>
      </c>
      <c r="H30" s="15" t="s">
        <v>11</v>
      </c>
      <c r="I30" s="16"/>
      <c r="K30" s="17" t="s">
        <v>12</v>
      </c>
      <c r="L30" s="17" t="s">
        <v>13</v>
      </c>
      <c r="M30" s="17" t="s">
        <v>14</v>
      </c>
      <c r="N30" s="18" t="s">
        <v>15</v>
      </c>
      <c r="O30" s="18" t="s">
        <v>16</v>
      </c>
      <c r="P30" s="18" t="s">
        <v>17</v>
      </c>
      <c r="Q30" s="486" t="s">
        <v>18</v>
      </c>
      <c r="R30" s="486" t="s">
        <v>19</v>
      </c>
      <c r="S30" s="487" t="s">
        <v>3</v>
      </c>
      <c r="T30" s="486" t="s">
        <v>20</v>
      </c>
      <c r="U30" s="486" t="s">
        <v>21</v>
      </c>
      <c r="V30" s="486" t="s">
        <v>22</v>
      </c>
      <c r="W30" s="486" t="s">
        <v>22</v>
      </c>
      <c r="X30" s="19"/>
      <c r="Y30" s="584"/>
      <c r="Z30" s="585" t="s">
        <v>376</v>
      </c>
      <c r="AA30" s="586" t="s">
        <v>377</v>
      </c>
      <c r="AB30" s="587" t="s">
        <v>25</v>
      </c>
      <c r="AC30" s="587" t="s">
        <v>26</v>
      </c>
      <c r="AD30" s="587" t="s">
        <v>378</v>
      </c>
      <c r="AE30" s="586" t="s">
        <v>379</v>
      </c>
      <c r="AF30" s="586" t="s">
        <v>380</v>
      </c>
      <c r="AG30" s="588" t="s">
        <v>381</v>
      </c>
      <c r="AH30" s="588" t="s">
        <v>382</v>
      </c>
      <c r="AI30" s="587" t="s">
        <v>383</v>
      </c>
      <c r="AJ30" s="586" t="s">
        <v>384</v>
      </c>
      <c r="AK30" s="586" t="s">
        <v>385</v>
      </c>
      <c r="AL30" s="586" t="s">
        <v>386</v>
      </c>
      <c r="AM30" s="587" t="s">
        <v>387</v>
      </c>
      <c r="AN30" s="589" t="s">
        <v>388</v>
      </c>
      <c r="AO30" s="586" t="s">
        <v>389</v>
      </c>
      <c r="AP30" s="586" t="s">
        <v>390</v>
      </c>
      <c r="AQ30" s="587" t="s">
        <v>391</v>
      </c>
      <c r="AR30" s="586" t="s">
        <v>392</v>
      </c>
      <c r="AS30" s="586" t="s">
        <v>393</v>
      </c>
      <c r="AT30" s="590" t="s">
        <v>22</v>
      </c>
      <c r="AU30" s="590" t="s">
        <v>22</v>
      </c>
      <c r="AV30" s="19"/>
      <c r="AX30" s="23" t="s">
        <v>42</v>
      </c>
      <c r="AY30" s="23" t="s">
        <v>25</v>
      </c>
      <c r="AZ30" s="24" t="s">
        <v>64</v>
      </c>
      <c r="BA30" s="25" t="s">
        <v>65</v>
      </c>
      <c r="BC30" s="3" t="s">
        <v>66</v>
      </c>
      <c r="BD30" s="3" t="s">
        <v>67</v>
      </c>
      <c r="BE30" s="3" t="s">
        <v>43</v>
      </c>
      <c r="BF30" s="3" t="s">
        <v>44</v>
      </c>
      <c r="BG30" s="3" t="s">
        <v>45</v>
      </c>
      <c r="BH30" s="3" t="s">
        <v>46</v>
      </c>
      <c r="BI30" s="3" t="s">
        <v>47</v>
      </c>
      <c r="BJ30" s="3" t="s">
        <v>68</v>
      </c>
      <c r="BK30" s="3" t="s">
        <v>48</v>
      </c>
      <c r="BL30" s="3" t="s">
        <v>49</v>
      </c>
      <c r="BM30" s="26" t="s">
        <v>69</v>
      </c>
      <c r="BN30" s="26" t="s">
        <v>70</v>
      </c>
      <c r="BO30" s="26" t="s">
        <v>71</v>
      </c>
      <c r="BP30" s="26" t="s">
        <v>72</v>
      </c>
      <c r="BQ30" s="26" t="s">
        <v>73</v>
      </c>
      <c r="BR30" s="27"/>
      <c r="BS30" s="18" t="s">
        <v>74</v>
      </c>
      <c r="BT30" s="18" t="s">
        <v>75</v>
      </c>
      <c r="BU30" s="486" t="s">
        <v>229</v>
      </c>
      <c r="BV30" s="486" t="s">
        <v>230</v>
      </c>
      <c r="BW30" s="486" t="s">
        <v>231</v>
      </c>
    </row>
    <row r="31" spans="1:256">
      <c r="A31" s="5"/>
      <c r="B31" s="583" t="s">
        <v>434</v>
      </c>
      <c r="C31" s="29">
        <v>2</v>
      </c>
      <c r="D31" s="30">
        <v>2200</v>
      </c>
      <c r="E31" s="31">
        <v>2202</v>
      </c>
      <c r="F31" s="29">
        <v>5</v>
      </c>
      <c r="G31" s="30">
        <v>2194</v>
      </c>
      <c r="H31" s="31">
        <v>2199</v>
      </c>
      <c r="I31" s="32"/>
      <c r="K31" s="33">
        <f>(C31/E31)/(F31/H31)</f>
        <v>0.39945504087193456</v>
      </c>
      <c r="L31" s="34">
        <f>(D31/(C31*E31)+(G31/(F31*H31)))</f>
        <v>0.69909111523320611</v>
      </c>
      <c r="M31" s="35">
        <f>1/L31</f>
        <v>1.4304287069453248</v>
      </c>
      <c r="N31" s="36">
        <f>LN(K31)</f>
        <v>-0.91765405860201921</v>
      </c>
      <c r="O31" s="36">
        <f>M31*N31</f>
        <v>-1.3126387084692157</v>
      </c>
      <c r="P31" s="36">
        <f>LN(K31)</f>
        <v>-0.91765405860201921</v>
      </c>
      <c r="Q31" s="37">
        <f>K31</f>
        <v>0.39945504087193456</v>
      </c>
      <c r="R31" s="38">
        <f>SQRT(1/M31)</f>
        <v>0.83611668757010593</v>
      </c>
      <c r="S31" s="39">
        <f>$H$2</f>
        <v>1.9599639845400536</v>
      </c>
      <c r="T31" s="40">
        <f>P31-(R31*S31)</f>
        <v>-2.5564126531123552</v>
      </c>
      <c r="U31" s="40">
        <f>P31+(R31*S31)</f>
        <v>0.7211045359083168</v>
      </c>
      <c r="V31" s="41">
        <f>EXP(T31)</f>
        <v>7.7582557378250885E-2</v>
      </c>
      <c r="W31" s="42">
        <f>EXP(U31)</f>
        <v>2.0567036595616326</v>
      </c>
      <c r="X31" s="43"/>
      <c r="Y31" s="591"/>
      <c r="Z31" s="592">
        <f>(N31-P34)^2</f>
        <v>0.10073890739808485</v>
      </c>
      <c r="AA31" s="593">
        <f>M31*Z31</f>
        <v>0.14409982504852731</v>
      </c>
      <c r="AB31" s="594">
        <v>1</v>
      </c>
      <c r="AC31" s="595"/>
      <c r="AD31" s="595"/>
      <c r="AE31" s="596">
        <f>M31^2</f>
        <v>2.0461262856532736</v>
      </c>
      <c r="AF31" s="597"/>
      <c r="AG31" s="598">
        <f>AG34</f>
        <v>-0.4561752716090241</v>
      </c>
      <c r="AH31" s="598" t="str">
        <f>AH34</f>
        <v>0</v>
      </c>
      <c r="AI31" s="593">
        <f>1/M31</f>
        <v>0.69909111523320611</v>
      </c>
      <c r="AJ31" s="599">
        <f>1/(AH31+AI31)</f>
        <v>1.4304287069453248</v>
      </c>
      <c r="AK31" s="600">
        <f>AJ31/AJ34</f>
        <v>0.28985697898379964</v>
      </c>
      <c r="AL31" s="601">
        <f>AJ31*N31</f>
        <v>-1.3126387084692157</v>
      </c>
      <c r="AM31" s="601">
        <f>AL31/AJ31</f>
        <v>-0.91765405860201932</v>
      </c>
      <c r="AN31" s="602">
        <f>EXP(AM31)</f>
        <v>0.39945504087193456</v>
      </c>
      <c r="AO31" s="603">
        <f>1/AJ31</f>
        <v>0.69909111523320611</v>
      </c>
      <c r="AP31" s="604">
        <f>SQRT(AO31)</f>
        <v>0.83611668757010593</v>
      </c>
      <c r="AQ31" s="605">
        <f>$H$2</f>
        <v>1.9599639845400536</v>
      </c>
      <c r="AR31" s="606">
        <f>AM31-(AQ31*AP31)</f>
        <v>-2.5564126531123552</v>
      </c>
      <c r="AS31" s="606">
        <f>AM31+(1.96*AP31)</f>
        <v>0.72113464903538838</v>
      </c>
      <c r="AT31" s="607">
        <f>EXP(AR31)</f>
        <v>7.7582557378250885E-2</v>
      </c>
      <c r="AU31" s="607">
        <f>EXP(AS31)</f>
        <v>2.0567655942728007</v>
      </c>
      <c r="AV31" s="16"/>
      <c r="AX31" s="53"/>
      <c r="AY31" s="53">
        <v>1</v>
      </c>
      <c r="AZ31" s="54"/>
      <c r="BA31" s="54"/>
      <c r="BC31" s="27"/>
      <c r="BD31" s="27"/>
      <c r="BE31" s="2"/>
      <c r="BF31" s="2"/>
      <c r="BG31" s="2"/>
      <c r="BH31" s="2"/>
      <c r="BI31" s="2"/>
      <c r="BJ31" s="2"/>
      <c r="BK31" s="2"/>
      <c r="BL31" s="2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256">
      <c r="A32" s="5"/>
      <c r="B32" s="583" t="s">
        <v>435</v>
      </c>
      <c r="C32" s="29">
        <v>2</v>
      </c>
      <c r="D32" s="30">
        <v>2150</v>
      </c>
      <c r="E32" s="31">
        <v>2152</v>
      </c>
      <c r="F32" s="29">
        <v>6</v>
      </c>
      <c r="G32" s="30">
        <v>2146</v>
      </c>
      <c r="H32" s="31">
        <v>2152</v>
      </c>
      <c r="I32" s="32"/>
      <c r="K32" s="33">
        <f t="shared" ref="K32:K33" si="56">(C32/E32)/(F32/H32)</f>
        <v>0.33333333333333331</v>
      </c>
      <c r="L32" s="34">
        <f t="shared" ref="L32:L33" si="57">(D32/(C32*E32)+(G32/(F32*H32)))</f>
        <v>0.66573729863692688</v>
      </c>
      <c r="M32" s="35">
        <f t="shared" ref="M32:M33" si="58">1/L32</f>
        <v>1.5020939972080039</v>
      </c>
      <c r="N32" s="36">
        <f t="shared" ref="N32:N33" si="59">LN(K32)</f>
        <v>-1.0986122886681098</v>
      </c>
      <c r="O32" s="36">
        <f t="shared" ref="O32:O33" si="60">M32*N32</f>
        <v>-1.6502189240673144</v>
      </c>
      <c r="P32" s="36">
        <f t="shared" ref="P32:P33" si="61">LN(K32)</f>
        <v>-1.0986122886681098</v>
      </c>
      <c r="Q32" s="37">
        <f t="shared" ref="Q32:Q33" si="62">K32</f>
        <v>0.33333333333333331</v>
      </c>
      <c r="R32" s="38">
        <f t="shared" ref="R32:R33" si="63">SQRT(1/M32)</f>
        <v>0.81592726307982066</v>
      </c>
      <c r="S32" s="39">
        <f t="shared" ref="S32:S34" si="64">$H$2</f>
        <v>1.9599639845400536</v>
      </c>
      <c r="T32" s="40">
        <f t="shared" ref="T32:T33" si="65">P32-(R32*S32)</f>
        <v>-2.6978003383088955</v>
      </c>
      <c r="U32" s="40">
        <f t="shared" ref="U32:U33" si="66">P32+(R32*S32)</f>
        <v>0.5005757609726762</v>
      </c>
      <c r="V32" s="41">
        <f t="shared" ref="V32:W33" si="67">EXP(T32)</f>
        <v>6.7353504838157371E-2</v>
      </c>
      <c r="W32" s="42">
        <f t="shared" si="67"/>
        <v>1.649670813391199</v>
      </c>
      <c r="X32" s="43"/>
      <c r="Y32" s="591"/>
      <c r="Z32" s="592">
        <f>(N32-P34)^2</f>
        <v>0.2483548763802873</v>
      </c>
      <c r="AA32" s="593">
        <f t="shared" ref="AA32:AA33" si="68">M32*Z32</f>
        <v>0.37305236898816541</v>
      </c>
      <c r="AB32" s="594">
        <v>1</v>
      </c>
      <c r="AC32" s="595"/>
      <c r="AD32" s="595"/>
      <c r="AE32" s="596">
        <f t="shared" ref="AE32:AE33" si="69">M32^2</f>
        <v>2.2562863764483185</v>
      </c>
      <c r="AF32" s="597"/>
      <c r="AG32" s="598">
        <f>AG34</f>
        <v>-0.4561752716090241</v>
      </c>
      <c r="AH32" s="598" t="str">
        <f>AH34</f>
        <v>0</v>
      </c>
      <c r="AI32" s="593">
        <f t="shared" ref="AI32:AI33" si="70">1/M32</f>
        <v>0.66573729863692688</v>
      </c>
      <c r="AJ32" s="599">
        <f t="shared" ref="AJ32:AJ33" si="71">1/(AH32+AI32)</f>
        <v>1.5020939972080039</v>
      </c>
      <c r="AK32" s="600">
        <f>AJ32/AJ34</f>
        <v>0.30437897818073778</v>
      </c>
      <c r="AL32" s="601">
        <f t="shared" ref="AL32:AL33" si="72">AJ32*N32</f>
        <v>-1.6502189240673144</v>
      </c>
      <c r="AM32" s="601">
        <f t="shared" ref="AM32:AM33" si="73">AL32/AJ32</f>
        <v>-1.0986122886681098</v>
      </c>
      <c r="AN32" s="602">
        <f t="shared" ref="AN32:AN33" si="74">EXP(AM32)</f>
        <v>0.33333333333333331</v>
      </c>
      <c r="AO32" s="603">
        <f t="shared" ref="AO32:AO33" si="75">1/AJ32</f>
        <v>0.66573729863692688</v>
      </c>
      <c r="AP32" s="604">
        <f t="shared" ref="AP32:AP33" si="76">SQRT(AO32)</f>
        <v>0.81592726307982066</v>
      </c>
      <c r="AQ32" s="605">
        <f t="shared" ref="AQ32:AQ34" si="77">$H$2</f>
        <v>1.9599639845400536</v>
      </c>
      <c r="AR32" s="606">
        <f t="shared" ref="AR32:AR33" si="78">AM32-(AQ32*AP32)</f>
        <v>-2.6978003383088955</v>
      </c>
      <c r="AS32" s="606">
        <f t="shared" ref="AS32:AS33" si="79">AM32+(1.96*AP32)</f>
        <v>0.5006051469683388</v>
      </c>
      <c r="AT32" s="607">
        <f t="shared" ref="AT32:AU33" si="80">EXP(AR32)</f>
        <v>6.7353504838157371E-2</v>
      </c>
      <c r="AU32" s="607">
        <f t="shared" si="80"/>
        <v>1.6497192913228487</v>
      </c>
      <c r="AV32" s="16"/>
      <c r="AX32" s="53"/>
      <c r="AY32" s="53">
        <v>1</v>
      </c>
      <c r="AZ32" s="54"/>
      <c r="BA32" s="54"/>
      <c r="BC32" s="27"/>
      <c r="BD32" s="27"/>
      <c r="BE32" s="2"/>
      <c r="BF32" s="2"/>
      <c r="BG32" s="2"/>
      <c r="BH32" s="2"/>
      <c r="BI32" s="2"/>
      <c r="BJ32" s="2"/>
      <c r="BK32" s="2"/>
      <c r="BL32" s="2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256">
      <c r="A33" s="5"/>
      <c r="B33" s="583" t="s">
        <v>437</v>
      </c>
      <c r="C33" s="29">
        <v>4</v>
      </c>
      <c r="D33" s="30">
        <v>3300</v>
      </c>
      <c r="E33" s="31">
        <v>3304</v>
      </c>
      <c r="F33" s="29">
        <v>4</v>
      </c>
      <c r="G33" s="30">
        <v>3301</v>
      </c>
      <c r="H33" s="31">
        <v>3305</v>
      </c>
      <c r="I33" s="32"/>
      <c r="K33" s="33">
        <f t="shared" si="56"/>
        <v>1.0003026634382568</v>
      </c>
      <c r="L33" s="34">
        <f t="shared" si="57"/>
        <v>0.49939476470092636</v>
      </c>
      <c r="M33" s="35">
        <f t="shared" si="58"/>
        <v>2.0024238752259893</v>
      </c>
      <c r="N33" s="36">
        <f t="shared" si="59"/>
        <v>3.0261764491811835E-4</v>
      </c>
      <c r="O33" s="36">
        <f t="shared" si="60"/>
        <v>6.05968797248701E-4</v>
      </c>
      <c r="P33" s="36">
        <f t="shared" si="61"/>
        <v>3.0261764491811835E-4</v>
      </c>
      <c r="Q33" s="37">
        <f t="shared" si="62"/>
        <v>1.0003026634382568</v>
      </c>
      <c r="R33" s="38">
        <f t="shared" si="63"/>
        <v>0.70667868561385538</v>
      </c>
      <c r="S33" s="39">
        <f t="shared" si="64"/>
        <v>1.9599639845400536</v>
      </c>
      <c r="T33" s="40">
        <f t="shared" si="65"/>
        <v>-1.3847621548003417</v>
      </c>
      <c r="U33" s="40">
        <f t="shared" si="66"/>
        <v>1.385367390090178</v>
      </c>
      <c r="V33" s="41">
        <f t="shared" si="67"/>
        <v>0.25038334518684929</v>
      </c>
      <c r="W33" s="42">
        <f t="shared" si="67"/>
        <v>3.9962938339008365</v>
      </c>
      <c r="X33" s="43"/>
      <c r="Y33" s="591"/>
      <c r="Z33" s="592">
        <f>(N33-P286)^2</f>
        <v>9.1577439015788354E-8</v>
      </c>
      <c r="AA33" s="593">
        <f t="shared" si="68"/>
        <v>1.8337685031726662E-7</v>
      </c>
      <c r="AB33" s="594">
        <v>1</v>
      </c>
      <c r="AC33" s="595"/>
      <c r="AD33" s="595"/>
      <c r="AE33" s="596">
        <f t="shared" si="69"/>
        <v>4.0097013760750686</v>
      </c>
      <c r="AF33" s="597"/>
      <c r="AG33" s="598">
        <f>AG34</f>
        <v>-0.4561752716090241</v>
      </c>
      <c r="AH33" s="598" t="str">
        <f>AH34</f>
        <v>0</v>
      </c>
      <c r="AI33" s="593">
        <f t="shared" si="70"/>
        <v>0.49939476470092631</v>
      </c>
      <c r="AJ33" s="599">
        <f t="shared" si="71"/>
        <v>2.0024238752259893</v>
      </c>
      <c r="AK33" s="600">
        <f>AJ33/AJ34</f>
        <v>0.40576404283546263</v>
      </c>
      <c r="AL33" s="601">
        <f t="shared" si="72"/>
        <v>6.05968797248701E-4</v>
      </c>
      <c r="AM33" s="601">
        <f t="shared" si="73"/>
        <v>3.0261764491811835E-4</v>
      </c>
      <c r="AN33" s="602">
        <f t="shared" si="74"/>
        <v>1.0003026634382568</v>
      </c>
      <c r="AO33" s="603">
        <f t="shared" si="75"/>
        <v>0.49939476470092631</v>
      </c>
      <c r="AP33" s="604">
        <f t="shared" si="76"/>
        <v>0.70667868561385538</v>
      </c>
      <c r="AQ33" s="605">
        <f t="shared" si="77"/>
        <v>1.9599639845400536</v>
      </c>
      <c r="AR33" s="606">
        <f t="shared" si="78"/>
        <v>-1.3847621548003417</v>
      </c>
      <c r="AS33" s="606">
        <f t="shared" si="79"/>
        <v>1.3853928414480747</v>
      </c>
      <c r="AT33" s="607">
        <f t="shared" si="80"/>
        <v>0.25038334518684929</v>
      </c>
      <c r="AU33" s="607">
        <f t="shared" si="80"/>
        <v>3.996395546299818</v>
      </c>
      <c r="AV33" s="16"/>
      <c r="AX33" s="53"/>
      <c r="AY33" s="53">
        <v>1</v>
      </c>
      <c r="AZ33" s="54"/>
      <c r="BA33" s="54"/>
      <c r="BC33" s="27"/>
      <c r="BD33" s="27"/>
      <c r="BE33" s="2"/>
      <c r="BF33" s="2"/>
      <c r="BG33" s="2"/>
      <c r="BH33" s="2"/>
      <c r="BI33" s="2"/>
      <c r="BJ33" s="2"/>
      <c r="BK33" s="2"/>
      <c r="BL33" s="2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256">
      <c r="A34" s="5"/>
      <c r="B34" s="55">
        <f>COUNT(D31:D33)</f>
        <v>3</v>
      </c>
      <c r="C34" s="56">
        <f t="shared" ref="C34:H34" si="81">SUM(C31:C33)</f>
        <v>8</v>
      </c>
      <c r="D34" s="56">
        <f t="shared" si="81"/>
        <v>7650</v>
      </c>
      <c r="E34" s="56">
        <f t="shared" si="81"/>
        <v>7658</v>
      </c>
      <c r="F34" s="56">
        <f t="shared" si="81"/>
        <v>15</v>
      </c>
      <c r="G34" s="56">
        <f t="shared" si="81"/>
        <v>7641</v>
      </c>
      <c r="H34" s="56">
        <f t="shared" si="81"/>
        <v>7656</v>
      </c>
      <c r="I34" s="57"/>
      <c r="K34" s="58"/>
      <c r="L34" s="59"/>
      <c r="M34" s="60">
        <f>SUM(M31:M33)</f>
        <v>4.9349465793793179</v>
      </c>
      <c r="N34" s="61"/>
      <c r="O34" s="62">
        <f>SUM(O31:O33)</f>
        <v>-2.9622516637392815</v>
      </c>
      <c r="P34" s="63">
        <f>O34/M34</f>
        <v>-0.60026012766116954</v>
      </c>
      <c r="Q34" s="488">
        <f>EXP(P34)</f>
        <v>0.54866889357315063</v>
      </c>
      <c r="R34" s="488">
        <f>SQRT(1/M34)</f>
        <v>0.45015157302392317</v>
      </c>
      <c r="S34" s="489">
        <f t="shared" si="64"/>
        <v>1.9599639845400536</v>
      </c>
      <c r="T34" s="490">
        <f>P34-(R34*S34)</f>
        <v>-1.482540998372111</v>
      </c>
      <c r="U34" s="490">
        <f>P34+(R34*S34)</f>
        <v>0.28202074304977187</v>
      </c>
      <c r="V34" s="491">
        <f>EXP(T34)</f>
        <v>0.22705999565716839</v>
      </c>
      <c r="W34" s="492">
        <f>EXP(U34)</f>
        <v>1.3258062209659933</v>
      </c>
      <c r="X34" s="65"/>
      <c r="Y34" s="608"/>
      <c r="Z34" s="609"/>
      <c r="AA34" s="610">
        <f>SUM(AA31:AA33)</f>
        <v>0.51715237741354314</v>
      </c>
      <c r="AB34" s="611">
        <f>SUM(AB31:AB33)</f>
        <v>3</v>
      </c>
      <c r="AC34" s="612">
        <f>AA34-(AB34-1)</f>
        <v>-1.4828476225864569</v>
      </c>
      <c r="AD34" s="613">
        <f>M34</f>
        <v>4.9349465793793179</v>
      </c>
      <c r="AE34" s="613">
        <f>SUM(AE31:AE33)</f>
        <v>8.3121140381766594</v>
      </c>
      <c r="AF34" s="614">
        <f>AE34/AD34</f>
        <v>1.684337186730418</v>
      </c>
      <c r="AG34" s="615">
        <f>AC34/(AD34-AF34)</f>
        <v>-0.4561752716090241</v>
      </c>
      <c r="AH34" s="615" t="str">
        <f>IF(AA34&lt;AB34-1,"0",AG34)</f>
        <v>0</v>
      </c>
      <c r="AI34" s="609"/>
      <c r="AJ34" s="613">
        <f>SUM(AJ31:AJ33)</f>
        <v>4.9349465793793179</v>
      </c>
      <c r="AK34" s="616">
        <f>SUM(AK31:AK33)</f>
        <v>1</v>
      </c>
      <c r="AL34" s="612">
        <f>SUM(AL31:AL33)</f>
        <v>-2.9622516637392815</v>
      </c>
      <c r="AM34" s="612">
        <f>AL34/AJ34</f>
        <v>-0.60026012766116954</v>
      </c>
      <c r="AN34" s="617">
        <f>EXP(AM34)</f>
        <v>0.54866889357315063</v>
      </c>
      <c r="AO34" s="618">
        <f>1/AJ34</f>
        <v>0.20263643869591244</v>
      </c>
      <c r="AP34" s="619">
        <f>SQRT(AO34)</f>
        <v>0.45015157302392317</v>
      </c>
      <c r="AQ34" s="605">
        <f t="shared" si="77"/>
        <v>1.9599639845400536</v>
      </c>
      <c r="AR34" s="620">
        <f>AM34-(AQ34*AP34)</f>
        <v>-1.482540998372111</v>
      </c>
      <c r="AS34" s="620">
        <f>AM34+(1.96*AP34)</f>
        <v>0.28203695546571983</v>
      </c>
      <c r="AT34" s="621">
        <f>EXP(AR34)</f>
        <v>0.22705999565716839</v>
      </c>
      <c r="AU34" s="621">
        <f>EXP(AS34)</f>
        <v>1.3258277156621541</v>
      </c>
      <c r="AV34" s="75"/>
      <c r="AW34" s="76"/>
      <c r="AX34" s="77">
        <f>AA34</f>
        <v>0.51715237741354314</v>
      </c>
      <c r="AY34" s="55">
        <f>SUM(AY31:AY33)</f>
        <v>3</v>
      </c>
      <c r="AZ34" s="78">
        <f>(AX34-(AY34-1))/AX34</f>
        <v>-2.8673321197954995</v>
      </c>
      <c r="BA34" s="79" t="str">
        <f>IF(AA34&lt;AB34-1,"0%",AZ34)</f>
        <v>0%</v>
      </c>
      <c r="BB34" s="76"/>
      <c r="BC34" s="62">
        <f>AX34/(AY34-1)</f>
        <v>0.25857618870677157</v>
      </c>
      <c r="BD34" s="80">
        <f>LN(BC34)</f>
        <v>-1.3525648945838242</v>
      </c>
      <c r="BE34" s="62">
        <f>LN(AX34)</f>
        <v>-0.65941771402387894</v>
      </c>
      <c r="BF34" s="62">
        <f>LN(AY34-1)</f>
        <v>0.69314718055994529</v>
      </c>
      <c r="BG34" s="62">
        <f>SQRT(2*AX34)</f>
        <v>1.0170077457065341</v>
      </c>
      <c r="BH34" s="62">
        <f>SQRT(2*AY34-3)</f>
        <v>1.7320508075688772</v>
      </c>
      <c r="BI34" s="62">
        <f>2*(AY34-2)</f>
        <v>2</v>
      </c>
      <c r="BJ34" s="62">
        <f>3*(AY34-2)^2</f>
        <v>3</v>
      </c>
      <c r="BK34" s="62">
        <f>1/BI34</f>
        <v>0.5</v>
      </c>
      <c r="BL34" s="81">
        <f>1/BJ34</f>
        <v>0.33333333333333331</v>
      </c>
      <c r="BM34" s="81">
        <f>SQRT(BK34*(1-BL34))</f>
        <v>0.57735026918962584</v>
      </c>
      <c r="BN34" s="82">
        <f>0.5*(BE34-BF34)/(BG34-BH34)</f>
        <v>0.94579261496576406</v>
      </c>
      <c r="BO34" s="82">
        <f>IF(AA34&lt;=AB34,BM34,BN34)</f>
        <v>0.57735026918962584</v>
      </c>
      <c r="BP34" s="69">
        <f>BD34-(1.96*BO34)</f>
        <v>-2.4841714221954909</v>
      </c>
      <c r="BQ34" s="69">
        <f>BD34+(1.96*BO34)</f>
        <v>-0.22095836697215754</v>
      </c>
      <c r="BR34" s="69"/>
      <c r="BS34" s="80">
        <f>EXP(BP34)</f>
        <v>8.3394624828213915E-2</v>
      </c>
      <c r="BT34" s="80">
        <f>EXP(BQ34)</f>
        <v>0.80175005887788864</v>
      </c>
      <c r="BU34" s="83" t="str">
        <f>BA34</f>
        <v>0%</v>
      </c>
      <c r="BV34" s="83">
        <f>(BS34-1)/BS34</f>
        <v>-10.991180511452843</v>
      </c>
      <c r="BW34" s="83">
        <f>(BT34-1)/BT34</f>
        <v>-0.24727150179393503</v>
      </c>
    </row>
    <row r="35" spans="1:256" ht="13.5" thickBot="1">
      <c r="C35" s="84"/>
      <c r="D35" s="84"/>
      <c r="E35" s="84"/>
      <c r="F35" s="84"/>
      <c r="G35" s="84"/>
      <c r="H35" s="84"/>
      <c r="I35" s="85"/>
      <c r="R35" s="86"/>
      <c r="S35" s="86"/>
      <c r="T35" s="86"/>
      <c r="U35" s="86"/>
      <c r="V35" s="86"/>
      <c r="W35" s="86"/>
      <c r="X35" s="86"/>
      <c r="Y35" s="591"/>
      <c r="Z35" s="591"/>
      <c r="AA35" s="591"/>
      <c r="AB35" s="584"/>
      <c r="AC35" s="622"/>
      <c r="AD35" s="623"/>
      <c r="AE35" s="622"/>
      <c r="AF35" s="624"/>
      <c r="AG35" s="624"/>
      <c r="AH35" s="624"/>
      <c r="AI35" s="624"/>
      <c r="AJ35" s="591"/>
      <c r="AK35" s="591"/>
      <c r="AL35" s="591"/>
      <c r="AM35" s="591"/>
      <c r="AN35" s="591"/>
      <c r="AO35" s="591"/>
      <c r="AP35" s="591"/>
      <c r="AQ35" s="591"/>
      <c r="AR35" s="591"/>
      <c r="AS35" s="591"/>
      <c r="AT35" s="625"/>
      <c r="AU35" s="625"/>
      <c r="AV35" s="91"/>
      <c r="AX35" s="5" t="s">
        <v>59</v>
      </c>
      <c r="BG35" s="10"/>
      <c r="BN35" s="88" t="s">
        <v>60</v>
      </c>
      <c r="BT35" s="92" t="s">
        <v>61</v>
      </c>
      <c r="BU35" s="495" t="str">
        <f>BU34</f>
        <v>0%</v>
      </c>
      <c r="BV35" s="495" t="str">
        <f>IF(BV34&lt;0,"0%",BV34)</f>
        <v>0%</v>
      </c>
      <c r="BW35" s="496" t="str">
        <f>IF(BW34&lt;0,"0%",BW34)</f>
        <v>0%</v>
      </c>
    </row>
    <row r="36" spans="1:256" ht="26.5" thickBot="1">
      <c r="A36" s="5"/>
      <c r="B36" s="5"/>
      <c r="C36" s="93"/>
      <c r="D36" s="93"/>
      <c r="E36" s="93"/>
      <c r="F36" s="93"/>
      <c r="G36" s="93"/>
      <c r="H36" s="93"/>
      <c r="I36" s="94"/>
      <c r="J36" s="5"/>
      <c r="K36" s="5"/>
      <c r="L36" s="5"/>
      <c r="R36" s="95"/>
      <c r="S36" s="95"/>
      <c r="T36" s="95"/>
      <c r="U36" s="95"/>
      <c r="V36" s="95"/>
      <c r="W36" s="95"/>
      <c r="X36" s="95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626"/>
      <c r="AJ36" s="627"/>
      <c r="AK36" s="627"/>
      <c r="AL36" s="628"/>
      <c r="AM36" s="629"/>
      <c r="AN36" s="591"/>
      <c r="AO36" s="630" t="s">
        <v>394</v>
      </c>
      <c r="AP36" s="631">
        <f>TINV((1-$H$1),(AB34-2))</f>
        <v>12.706204736174694</v>
      </c>
      <c r="AQ36" s="591"/>
      <c r="AR36" s="632" t="s">
        <v>63</v>
      </c>
      <c r="AS36" s="633">
        <f>$H$1</f>
        <v>0.95</v>
      </c>
      <c r="AT36" s="621">
        <f>EXP(AM34-AP36*SQRT((1/AD34)+AH34))</f>
        <v>1.7999827871607182E-3</v>
      </c>
      <c r="AU36" s="621">
        <f>EXP(AM34+AP36*SQRT((1/AD34)+AH34))</f>
        <v>167.24468529481899</v>
      </c>
      <c r="AV36" s="16"/>
      <c r="AX36" s="102">
        <f>_xlfn.CHISQ.DIST.RT(AX34,AY34-1)</f>
        <v>0.7721501996829232</v>
      </c>
      <c r="AY36" s="103" t="str">
        <f>IF(AX36&lt;0.05,"heterogeneidad","homogeneidad")</f>
        <v>homogeneidad</v>
      </c>
      <c r="BF36" s="104"/>
      <c r="BG36" s="10"/>
      <c r="BH36" s="10"/>
      <c r="BJ36" s="43"/>
      <c r="BL36" s="10"/>
      <c r="BM36" s="105"/>
      <c r="BQ36" s="10"/>
    </row>
    <row r="37" spans="1:256" ht="14.5">
      <c r="C37" s="84"/>
      <c r="D37" s="84"/>
      <c r="E37" s="84"/>
      <c r="F37" s="84"/>
      <c r="G37" s="84"/>
      <c r="H37" s="84"/>
      <c r="I37" s="85"/>
      <c r="R37" s="95"/>
      <c r="S37" s="95"/>
      <c r="T37" s="95"/>
      <c r="U37" s="95"/>
      <c r="V37" s="95"/>
      <c r="W37" s="95"/>
      <c r="X37" s="95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626"/>
      <c r="AJ37" s="627"/>
      <c r="AK37" s="627"/>
      <c r="AL37" s="628"/>
      <c r="AM37" s="629"/>
      <c r="AN37" s="635"/>
      <c r="AO37" s="636"/>
      <c r="AP37" s="637"/>
      <c r="AQ37" s="591"/>
      <c r="AR37" s="591"/>
      <c r="AS37" s="638"/>
      <c r="AT37" s="639"/>
      <c r="AU37" s="639"/>
      <c r="AV37" s="16"/>
      <c r="BF37" s="104"/>
      <c r="BG37" s="10"/>
      <c r="BH37" s="10"/>
      <c r="BJ37" s="43"/>
      <c r="BL37" s="10"/>
      <c r="BM37" s="109"/>
      <c r="BQ37" s="10"/>
    </row>
    <row r="38" spans="1:256" ht="13" customHeight="1">
      <c r="C38" s="84"/>
      <c r="D38" s="84"/>
      <c r="E38" s="84"/>
      <c r="F38" s="84"/>
      <c r="G38" s="84"/>
      <c r="H38" s="84"/>
      <c r="I38" s="85"/>
      <c r="J38" s="668" t="s">
        <v>4</v>
      </c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70"/>
      <c r="X38" s="11"/>
      <c r="Y38" s="671" t="s">
        <v>5</v>
      </c>
      <c r="Z38" s="672"/>
      <c r="AA38" s="672"/>
      <c r="AB38" s="672"/>
      <c r="AC38" s="672"/>
      <c r="AD38" s="672"/>
      <c r="AE38" s="672"/>
      <c r="AF38" s="672"/>
      <c r="AG38" s="672"/>
      <c r="AH38" s="672"/>
      <c r="AI38" s="672"/>
      <c r="AJ38" s="672"/>
      <c r="AK38" s="672"/>
      <c r="AL38" s="672"/>
      <c r="AM38" s="672"/>
      <c r="AN38" s="672"/>
      <c r="AO38" s="672"/>
      <c r="AP38" s="672"/>
      <c r="AQ38" s="672"/>
      <c r="AR38" s="672"/>
      <c r="AS38" s="672"/>
      <c r="AT38" s="672"/>
      <c r="AU38" s="673"/>
      <c r="AV38" s="11"/>
      <c r="AW38" s="668" t="s">
        <v>232</v>
      </c>
      <c r="AX38" s="669"/>
      <c r="AY38" s="669"/>
      <c r="AZ38" s="669"/>
      <c r="BA38" s="669"/>
      <c r="BB38" s="669"/>
      <c r="BC38" s="669"/>
      <c r="BD38" s="669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669"/>
      <c r="BR38" s="669"/>
      <c r="BS38" s="669"/>
      <c r="BT38" s="669"/>
      <c r="BU38" s="669"/>
      <c r="BV38" s="669"/>
      <c r="BW38" s="670"/>
    </row>
    <row r="39" spans="1:256">
      <c r="A39" s="642" t="s">
        <v>398</v>
      </c>
      <c r="B39" s="12" t="s">
        <v>6</v>
      </c>
      <c r="C39" s="674" t="s">
        <v>7</v>
      </c>
      <c r="D39" s="675"/>
      <c r="E39" s="676"/>
      <c r="F39" s="674" t="s">
        <v>8</v>
      </c>
      <c r="G39" s="675"/>
      <c r="H39" s="676"/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640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640"/>
      <c r="AK39" s="640"/>
      <c r="AL39" s="640"/>
      <c r="AM39" s="640"/>
      <c r="AN39" s="640"/>
      <c r="AO39" s="640"/>
      <c r="AP39" s="640"/>
      <c r="AQ39" s="640"/>
      <c r="AR39" s="640"/>
      <c r="AS39" s="640"/>
      <c r="AT39" s="640"/>
      <c r="AU39" s="640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60">
      <c r="B40" s="503" t="s">
        <v>324</v>
      </c>
      <c r="C40" s="15" t="s">
        <v>9</v>
      </c>
      <c r="D40" s="15" t="s">
        <v>10</v>
      </c>
      <c r="E40" s="15" t="s">
        <v>11</v>
      </c>
      <c r="F40" s="15" t="s">
        <v>9</v>
      </c>
      <c r="G40" s="15" t="s">
        <v>10</v>
      </c>
      <c r="H40" s="15" t="s">
        <v>11</v>
      </c>
      <c r="I40" s="16"/>
      <c r="K40" s="17" t="s">
        <v>12</v>
      </c>
      <c r="L40" s="17" t="s">
        <v>13</v>
      </c>
      <c r="M40" s="17" t="s">
        <v>14</v>
      </c>
      <c r="N40" s="18" t="s">
        <v>15</v>
      </c>
      <c r="O40" s="18" t="s">
        <v>16</v>
      </c>
      <c r="P40" s="18" t="s">
        <v>17</v>
      </c>
      <c r="Q40" s="486" t="s">
        <v>18</v>
      </c>
      <c r="R40" s="486" t="s">
        <v>19</v>
      </c>
      <c r="S40" s="487" t="s">
        <v>3</v>
      </c>
      <c r="T40" s="486" t="s">
        <v>20</v>
      </c>
      <c r="U40" s="486" t="s">
        <v>21</v>
      </c>
      <c r="V40" s="486" t="s">
        <v>22</v>
      </c>
      <c r="W40" s="486" t="s">
        <v>22</v>
      </c>
      <c r="X40" s="19"/>
      <c r="Y40" s="584"/>
      <c r="Z40" s="585" t="s">
        <v>376</v>
      </c>
      <c r="AA40" s="586" t="s">
        <v>377</v>
      </c>
      <c r="AB40" s="587" t="s">
        <v>25</v>
      </c>
      <c r="AC40" s="587" t="s">
        <v>26</v>
      </c>
      <c r="AD40" s="587" t="s">
        <v>378</v>
      </c>
      <c r="AE40" s="586" t="s">
        <v>379</v>
      </c>
      <c r="AF40" s="586" t="s">
        <v>380</v>
      </c>
      <c r="AG40" s="588" t="s">
        <v>381</v>
      </c>
      <c r="AH40" s="588" t="s">
        <v>382</v>
      </c>
      <c r="AI40" s="587" t="s">
        <v>383</v>
      </c>
      <c r="AJ40" s="586" t="s">
        <v>384</v>
      </c>
      <c r="AK40" s="586" t="s">
        <v>385</v>
      </c>
      <c r="AL40" s="586" t="s">
        <v>386</v>
      </c>
      <c r="AM40" s="587" t="s">
        <v>387</v>
      </c>
      <c r="AN40" s="589" t="s">
        <v>388</v>
      </c>
      <c r="AO40" s="586" t="s">
        <v>389</v>
      </c>
      <c r="AP40" s="586" t="s">
        <v>390</v>
      </c>
      <c r="AQ40" s="587" t="s">
        <v>391</v>
      </c>
      <c r="AR40" s="586" t="s">
        <v>392</v>
      </c>
      <c r="AS40" s="586" t="s">
        <v>393</v>
      </c>
      <c r="AT40" s="590" t="s">
        <v>22</v>
      </c>
      <c r="AU40" s="590" t="s">
        <v>22</v>
      </c>
      <c r="AV40" s="19"/>
      <c r="AX40" s="23" t="s">
        <v>42</v>
      </c>
      <c r="AY40" s="23" t="s">
        <v>25</v>
      </c>
      <c r="AZ40" s="24" t="s">
        <v>64</v>
      </c>
      <c r="BA40" s="25" t="s">
        <v>65</v>
      </c>
      <c r="BC40" s="3" t="s">
        <v>66</v>
      </c>
      <c r="BD40" s="3" t="s">
        <v>67</v>
      </c>
      <c r="BE40" s="3" t="s">
        <v>43</v>
      </c>
      <c r="BF40" s="3" t="s">
        <v>44</v>
      </c>
      <c r="BG40" s="3" t="s">
        <v>45</v>
      </c>
      <c r="BH40" s="3" t="s">
        <v>46</v>
      </c>
      <c r="BI40" s="3" t="s">
        <v>47</v>
      </c>
      <c r="BJ40" s="3" t="s">
        <v>68</v>
      </c>
      <c r="BK40" s="3" t="s">
        <v>48</v>
      </c>
      <c r="BL40" s="3" t="s">
        <v>49</v>
      </c>
      <c r="BM40" s="26" t="s">
        <v>69</v>
      </c>
      <c r="BN40" s="26" t="s">
        <v>70</v>
      </c>
      <c r="BO40" s="26" t="s">
        <v>71</v>
      </c>
      <c r="BP40" s="26" t="s">
        <v>72</v>
      </c>
      <c r="BQ40" s="26" t="s">
        <v>73</v>
      </c>
      <c r="BR40" s="27"/>
      <c r="BS40" s="18" t="s">
        <v>74</v>
      </c>
      <c r="BT40" s="18" t="s">
        <v>75</v>
      </c>
      <c r="BU40" s="486" t="s">
        <v>229</v>
      </c>
      <c r="BV40" s="486" t="s">
        <v>230</v>
      </c>
      <c r="BW40" s="486" t="s">
        <v>231</v>
      </c>
    </row>
    <row r="41" spans="1:256">
      <c r="A41" s="5"/>
      <c r="B41" s="583" t="s">
        <v>443</v>
      </c>
      <c r="C41" s="29">
        <v>112</v>
      </c>
      <c r="D41" s="30">
        <v>2150</v>
      </c>
      <c r="E41" s="31">
        <v>2152</v>
      </c>
      <c r="F41" s="29">
        <v>201</v>
      </c>
      <c r="G41" s="30">
        <v>2146</v>
      </c>
      <c r="H41" s="31">
        <v>2152</v>
      </c>
      <c r="I41" s="32"/>
      <c r="K41" s="33">
        <f t="shared" ref="K41:K42" si="82">(C41/E41)/(F41/H41)</f>
        <v>0.55721393034825872</v>
      </c>
      <c r="L41" s="34">
        <f t="shared" ref="L41:L42" si="83">(D41/(C41*E41)+(G41/(F41*H41)))</f>
        <v>1.3881526713220939E-2</v>
      </c>
      <c r="M41" s="35">
        <f t="shared" ref="M41:M42" si="84">1/L41</f>
        <v>72.038185760042339</v>
      </c>
      <c r="N41" s="36">
        <f t="shared" ref="N41:N42" si="85">LN(K41)</f>
        <v>-0.58480603676398113</v>
      </c>
      <c r="O41" s="36">
        <f t="shared" ref="O41:O42" si="86">M41*N41</f>
        <v>-42.128365909997825</v>
      </c>
      <c r="P41" s="36">
        <f t="shared" ref="P41:P42" si="87">LN(K41)</f>
        <v>-0.58480603676398113</v>
      </c>
      <c r="Q41" s="37">
        <f t="shared" ref="Q41:Q42" si="88">K41</f>
        <v>0.55721393034825872</v>
      </c>
      <c r="R41" s="38">
        <f t="shared" ref="R41:R42" si="89">SQRT(1/M41)</f>
        <v>0.11781989099138115</v>
      </c>
      <c r="S41" s="39">
        <f t="shared" ref="S41:S43" si="90">$H$2</f>
        <v>1.9599639845400536</v>
      </c>
      <c r="T41" s="40">
        <f t="shared" ref="T41:T42" si="91">P41-(R41*S41)</f>
        <v>-0.81572877976952329</v>
      </c>
      <c r="U41" s="40">
        <f t="shared" ref="U41:U42" si="92">P41+(R41*S41)</f>
        <v>-0.35388329375843897</v>
      </c>
      <c r="V41" s="41">
        <f t="shared" ref="V41:V42" si="93">EXP(T41)</f>
        <v>0.44231685829311385</v>
      </c>
      <c r="W41" s="42">
        <f t="shared" ref="W41:W42" si="94">EXP(U41)</f>
        <v>0.70195688532495604</v>
      </c>
      <c r="X41" s="43"/>
      <c r="Y41" s="591"/>
      <c r="Z41" s="592">
        <f>(N41-P43)^2</f>
        <v>5.1619930887987296E-2</v>
      </c>
      <c r="AA41" s="593">
        <f t="shared" ref="AA41:AA42" si="95">M41*Z41</f>
        <v>3.7186061702293762</v>
      </c>
      <c r="AB41" s="594">
        <v>1</v>
      </c>
      <c r="AC41" s="595"/>
      <c r="AD41" s="595"/>
      <c r="AE41" s="596">
        <f t="shared" ref="AE41:AE42" si="96">M41^2</f>
        <v>5189.5002075983666</v>
      </c>
      <c r="AF41" s="597"/>
      <c r="AG41" s="598">
        <f>AG43</f>
        <v>3.7807796918987072E-2</v>
      </c>
      <c r="AH41" s="598">
        <f>AH43</f>
        <v>3.7807796918987072E-2</v>
      </c>
      <c r="AI41" s="593">
        <f t="shared" ref="AI41:AI42" si="97">1/M41</f>
        <v>1.3881526713220939E-2</v>
      </c>
      <c r="AJ41" s="599">
        <f t="shared" ref="AJ41:AJ42" si="98">1/(AH41+AI41)</f>
        <v>19.346354909099496</v>
      </c>
      <c r="AK41" s="600">
        <f>AJ41/AJ43</f>
        <v>0.45236479525361456</v>
      </c>
      <c r="AL41" s="601">
        <f t="shared" ref="AL41:AL42" si="99">AJ41*N41</f>
        <v>-11.313865140219866</v>
      </c>
      <c r="AM41" s="601">
        <f t="shared" ref="AM41:AM42" si="100">AL41/AJ41</f>
        <v>-0.58480603676398113</v>
      </c>
      <c r="AN41" s="602">
        <f t="shared" ref="AN41:AN42" si="101">EXP(AM41)</f>
        <v>0.55721393034825872</v>
      </c>
      <c r="AO41" s="603">
        <f t="shared" ref="AO41:AO42" si="102">1/AJ41</f>
        <v>5.168932363220801E-2</v>
      </c>
      <c r="AP41" s="604">
        <f t="shared" ref="AP41:AP42" si="103">SQRT(AO41)</f>
        <v>0.22735286149993364</v>
      </c>
      <c r="AQ41" s="605">
        <f t="shared" ref="AQ41:AQ43" si="104">$H$2</f>
        <v>1.9599639845400536</v>
      </c>
      <c r="AR41" s="606">
        <f t="shared" ref="AR41:AR42" si="105">AM41-(AQ41*AP41)</f>
        <v>-1.0304094570859741</v>
      </c>
      <c r="AS41" s="606">
        <f t="shared" ref="AS41:AS42" si="106">AM41+(1.96*AP41)</f>
        <v>-0.13919442822411121</v>
      </c>
      <c r="AT41" s="607">
        <f t="shared" ref="AT41:AT42" si="107">EXP(AR41)</f>
        <v>0.35686081146233584</v>
      </c>
      <c r="AU41" s="607">
        <f t="shared" ref="AU41:AU42" si="108">EXP(AS41)</f>
        <v>0.87005884801536615</v>
      </c>
      <c r="AV41" s="16"/>
      <c r="AX41" s="53"/>
      <c r="AY41" s="53">
        <v>1</v>
      </c>
      <c r="AZ41" s="54"/>
      <c r="BA41" s="54"/>
      <c r="BC41" s="27"/>
      <c r="BD41" s="27"/>
      <c r="BE41" s="2"/>
      <c r="BF41" s="2"/>
      <c r="BG41" s="2"/>
      <c r="BH41" s="2"/>
      <c r="BI41" s="2"/>
      <c r="BJ41" s="2"/>
      <c r="BK41" s="2"/>
      <c r="BL41" s="2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</row>
    <row r="42" spans="1:256">
      <c r="A42" s="5"/>
      <c r="B42" s="583" t="s">
        <v>444</v>
      </c>
      <c r="C42" s="29">
        <v>359</v>
      </c>
      <c r="D42" s="30">
        <v>3300</v>
      </c>
      <c r="E42" s="31">
        <v>3304</v>
      </c>
      <c r="F42" s="29">
        <v>474</v>
      </c>
      <c r="G42" s="30">
        <v>3301</v>
      </c>
      <c r="H42" s="31">
        <v>3305</v>
      </c>
      <c r="I42" s="32"/>
      <c r="K42" s="33">
        <f t="shared" si="82"/>
        <v>0.75761319868002974</v>
      </c>
      <c r="L42" s="34">
        <f t="shared" si="83"/>
        <v>4.8892943180713667E-3</v>
      </c>
      <c r="M42" s="35">
        <f t="shared" si="84"/>
        <v>204.52849326412823</v>
      </c>
      <c r="N42" s="36">
        <f t="shared" si="85"/>
        <v>-0.27758231556187979</v>
      </c>
      <c r="O42" s="36">
        <f t="shared" si="86"/>
        <v>-56.773492758639044</v>
      </c>
      <c r="P42" s="36">
        <f t="shared" si="87"/>
        <v>-0.27758231556187979</v>
      </c>
      <c r="Q42" s="37">
        <f t="shared" si="88"/>
        <v>0.75761319868002974</v>
      </c>
      <c r="R42" s="38">
        <f t="shared" si="89"/>
        <v>6.9923489029591238E-2</v>
      </c>
      <c r="S42" s="39">
        <f t="shared" si="90"/>
        <v>1.9599639845400536</v>
      </c>
      <c r="T42" s="40">
        <f t="shared" si="91"/>
        <v>-0.41462983573326018</v>
      </c>
      <c r="U42" s="40">
        <f t="shared" si="92"/>
        <v>-0.14053479539049943</v>
      </c>
      <c r="V42" s="41">
        <f t="shared" si="93"/>
        <v>0.66058476032680724</v>
      </c>
      <c r="W42" s="42">
        <f t="shared" si="94"/>
        <v>0.86889343092054616</v>
      </c>
      <c r="X42" s="43"/>
      <c r="Y42" s="591"/>
      <c r="Z42" s="592">
        <f>(N42-P43)^2</f>
        <v>6.4037639427839974E-3</v>
      </c>
      <c r="AA42" s="593">
        <f t="shared" si="95"/>
        <v>1.3097521904367639</v>
      </c>
      <c r="AB42" s="594">
        <v>1</v>
      </c>
      <c r="AC42" s="595"/>
      <c r="AD42" s="595"/>
      <c r="AE42" s="596">
        <f t="shared" si="96"/>
        <v>41831.904556894544</v>
      </c>
      <c r="AF42" s="597"/>
      <c r="AG42" s="598">
        <f>AG43</f>
        <v>3.7807796918987072E-2</v>
      </c>
      <c r="AH42" s="598">
        <f>AH43</f>
        <v>3.7807796918987072E-2</v>
      </c>
      <c r="AI42" s="593">
        <f t="shared" si="97"/>
        <v>4.8892943180713667E-3</v>
      </c>
      <c r="AJ42" s="599">
        <f t="shared" si="98"/>
        <v>23.420799193272956</v>
      </c>
      <c r="AK42" s="600">
        <f>AJ42/AJ43</f>
        <v>0.5476352047463855</v>
      </c>
      <c r="AL42" s="601">
        <f t="shared" si="99"/>
        <v>-6.5011996723785135</v>
      </c>
      <c r="AM42" s="601">
        <f t="shared" si="100"/>
        <v>-0.27758231556187979</v>
      </c>
      <c r="AN42" s="602">
        <f t="shared" si="101"/>
        <v>0.75761319868002974</v>
      </c>
      <c r="AO42" s="603">
        <f t="shared" si="102"/>
        <v>4.2697091237058435E-2</v>
      </c>
      <c r="AP42" s="604">
        <f t="shared" si="103"/>
        <v>0.20663274483260979</v>
      </c>
      <c r="AQ42" s="605">
        <f t="shared" si="104"/>
        <v>1.9599639845400536</v>
      </c>
      <c r="AR42" s="606">
        <f t="shared" si="105"/>
        <v>-0.68257505346044978</v>
      </c>
      <c r="AS42" s="606">
        <f t="shared" si="106"/>
        <v>0.12741786431003538</v>
      </c>
      <c r="AT42" s="607">
        <f t="shared" si="107"/>
        <v>0.50531410474885208</v>
      </c>
      <c r="AU42" s="607">
        <f t="shared" si="108"/>
        <v>1.1358915671719458</v>
      </c>
      <c r="AV42" s="16"/>
      <c r="AX42" s="53"/>
      <c r="AY42" s="53">
        <v>1</v>
      </c>
      <c r="AZ42" s="54"/>
      <c r="BA42" s="54"/>
      <c r="BC42" s="27"/>
      <c r="BD42" s="27"/>
      <c r="BE42" s="2"/>
      <c r="BF42" s="2"/>
      <c r="BG42" s="2"/>
      <c r="BH42" s="2"/>
      <c r="BI42" s="2"/>
      <c r="BJ42" s="2"/>
      <c r="BK42" s="2"/>
      <c r="BL42" s="2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</row>
    <row r="43" spans="1:256">
      <c r="A43" s="5"/>
      <c r="B43" s="526">
        <f>COUNT(D41:D42)</f>
        <v>2</v>
      </c>
      <c r="C43" s="56">
        <f t="shared" ref="C43:H43" si="109">SUM(C41:C42)</f>
        <v>471</v>
      </c>
      <c r="D43" s="56">
        <f t="shared" si="109"/>
        <v>5450</v>
      </c>
      <c r="E43" s="56">
        <f t="shared" si="109"/>
        <v>5456</v>
      </c>
      <c r="F43" s="56">
        <f t="shared" si="109"/>
        <v>675</v>
      </c>
      <c r="G43" s="56">
        <f t="shared" si="109"/>
        <v>5447</v>
      </c>
      <c r="H43" s="56">
        <f t="shared" si="109"/>
        <v>5457</v>
      </c>
      <c r="I43" s="57"/>
      <c r="K43" s="58"/>
      <c r="L43" s="112"/>
      <c r="M43" s="60">
        <f>SUM(M41:M42)</f>
        <v>276.56667902417058</v>
      </c>
      <c r="N43" s="61"/>
      <c r="O43" s="62">
        <f>SUM(O41:O42)</f>
        <v>-98.901858668636862</v>
      </c>
      <c r="P43" s="63">
        <f>O43/M43</f>
        <v>-0.35760583674649149</v>
      </c>
      <c r="Q43" s="488">
        <f>EXP(P43)</f>
        <v>0.69934867823697522</v>
      </c>
      <c r="R43" s="488">
        <f>SQRT(1/M43)</f>
        <v>6.0131227932600256E-2</v>
      </c>
      <c r="S43" s="489">
        <f t="shared" si="90"/>
        <v>1.9599639845400536</v>
      </c>
      <c r="T43" s="490">
        <f>P43-(R43*S43)</f>
        <v>-0.47546087784055685</v>
      </c>
      <c r="U43" s="490">
        <f>P43+(R43*S43)</f>
        <v>-0.23975079565242613</v>
      </c>
      <c r="V43" s="491">
        <f>EXP(T43)</f>
        <v>0.62159850945977646</v>
      </c>
      <c r="W43" s="492">
        <f>EXP(U43)</f>
        <v>0.78682391657738215</v>
      </c>
      <c r="X43" s="65"/>
      <c r="Y43" s="608"/>
      <c r="Z43" s="609"/>
      <c r="AA43" s="610">
        <f>SUM(AA41:AA42)</f>
        <v>5.0283583606661404</v>
      </c>
      <c r="AB43" s="611">
        <f>SUM(AB41:AB42)</f>
        <v>2</v>
      </c>
      <c r="AC43" s="612">
        <f>AA43-(AB43-1)</f>
        <v>4.0283583606661404</v>
      </c>
      <c r="AD43" s="613">
        <f>M43</f>
        <v>276.56667902417058</v>
      </c>
      <c r="AE43" s="613">
        <f>SUM(AE41:AE42)</f>
        <v>47021.404764492909</v>
      </c>
      <c r="AF43" s="614">
        <f>AE43/AD43</f>
        <v>170.01832950520935</v>
      </c>
      <c r="AG43" s="615">
        <f>AC43/(AD43-AF43)</f>
        <v>3.7807796918987072E-2</v>
      </c>
      <c r="AH43" s="615">
        <f>IF(AA43&lt;AB43-1,"0",AG43)</f>
        <v>3.7807796918987072E-2</v>
      </c>
      <c r="AI43" s="609"/>
      <c r="AJ43" s="613">
        <f>SUM(AJ41:AJ42)</f>
        <v>42.767154102372452</v>
      </c>
      <c r="AK43" s="616">
        <f>SUM(AK41:AK42)</f>
        <v>1</v>
      </c>
      <c r="AL43" s="612">
        <f>SUM(AL41:AL42)</f>
        <v>-17.815064812598379</v>
      </c>
      <c r="AM43" s="612">
        <f>AL43/AJ43</f>
        <v>-0.41655951130052193</v>
      </c>
      <c r="AN43" s="617">
        <f>EXP(AM43)</f>
        <v>0.65931127515647581</v>
      </c>
      <c r="AO43" s="618">
        <f>1/AJ43</f>
        <v>2.3382430301681596E-2</v>
      </c>
      <c r="AP43" s="619">
        <f>SQRT(AO43)</f>
        <v>0.15291314626833624</v>
      </c>
      <c r="AQ43" s="605">
        <f t="shared" si="104"/>
        <v>1.9599639845400536</v>
      </c>
      <c r="AR43" s="620">
        <f>AM43-(AQ43*AP43)</f>
        <v>-0.71626377074916625</v>
      </c>
      <c r="AS43" s="620">
        <f>AM43+(1.96*AP43)</f>
        <v>-0.11684974461458292</v>
      </c>
      <c r="AT43" s="621">
        <f>EXP(AR43)</f>
        <v>0.48857427559860739</v>
      </c>
      <c r="AU43" s="621">
        <f>EXP(AS43)</f>
        <v>0.88971886817191492</v>
      </c>
      <c r="AV43" s="75"/>
      <c r="AW43" s="76"/>
      <c r="AX43" s="77">
        <f>AA43</f>
        <v>5.0283583606661404</v>
      </c>
      <c r="AY43" s="55">
        <f>SUM(AY41:AY42)</f>
        <v>2</v>
      </c>
      <c r="AZ43" s="78">
        <f>(AX43-(AY43-1))/AX43</f>
        <v>0.80112793713701758</v>
      </c>
      <c r="BA43" s="79">
        <f>IF(AA43&lt;AB43-1,"0%",AZ43)</f>
        <v>0.80112793713701758</v>
      </c>
      <c r="BB43" s="76"/>
      <c r="BC43" s="62">
        <f>AX43/(AY43-1)</f>
        <v>5.0283583606661404</v>
      </c>
      <c r="BD43" s="80">
        <f>LN(BC43)</f>
        <v>1.6150935611926045</v>
      </c>
      <c r="BE43" s="62">
        <f>LN(AX43)</f>
        <v>1.6150935611926045</v>
      </c>
      <c r="BF43" s="62">
        <f>LN(AY43-1)</f>
        <v>0</v>
      </c>
      <c r="BG43" s="62">
        <f>SQRT(2*AX43)</f>
        <v>3.1712326816763667</v>
      </c>
      <c r="BH43" s="62">
        <f>SQRT(2*AY43-3)</f>
        <v>1</v>
      </c>
      <c r="BI43" s="62">
        <f>2*(AY43-2)</f>
        <v>0</v>
      </c>
      <c r="BJ43" s="62">
        <f>3*(AY43-2)^2</f>
        <v>0</v>
      </c>
      <c r="BK43" s="62" t="e">
        <f>1/BI43</f>
        <v>#DIV/0!</v>
      </c>
      <c r="BL43" s="81" t="e">
        <f>1/BJ43</f>
        <v>#DIV/0!</v>
      </c>
      <c r="BM43" s="81" t="e">
        <f>SQRT(BK43*(1-BL43))</f>
        <v>#DIV/0!</v>
      </c>
      <c r="BN43" s="82">
        <f>0.5*(BE43-BF43)/(BG43-BH43)</f>
        <v>0.37193009639704344</v>
      </c>
      <c r="BO43" s="82">
        <f>IF(AA43&lt;=AB43,BM43,BN43)</f>
        <v>0.37193009639704344</v>
      </c>
      <c r="BP43" s="69">
        <f>BD43-(1.96*BO43)</f>
        <v>0.88611057225439938</v>
      </c>
      <c r="BQ43" s="69">
        <f>BD43+(1.96*BO43)</f>
        <v>2.3440765501308096</v>
      </c>
      <c r="BR43" s="69"/>
      <c r="BS43" s="80">
        <f>EXP(BP43)</f>
        <v>2.4256767854958929</v>
      </c>
      <c r="BT43" s="80">
        <f>EXP(BQ43)</f>
        <v>10.423642570381471</v>
      </c>
      <c r="BU43" s="83">
        <f>BA43</f>
        <v>0.80112793713701758</v>
      </c>
      <c r="BV43" s="83">
        <f>(BS43-1)/BS43</f>
        <v>0.58774392121019325</v>
      </c>
      <c r="BW43" s="83">
        <f>(BT43-1)/BT43</f>
        <v>0.90406424690333531</v>
      </c>
    </row>
    <row r="44" spans="1:256" ht="13.5" thickBot="1">
      <c r="B44" s="527"/>
      <c r="E44" s="84"/>
      <c r="F44" s="84"/>
      <c r="G44" s="84"/>
      <c r="H44" s="84"/>
      <c r="I44" s="85"/>
      <c r="R44" s="86"/>
      <c r="S44" s="86"/>
      <c r="T44" s="86"/>
      <c r="U44" s="86"/>
      <c r="V44" s="86"/>
      <c r="W44" s="86"/>
      <c r="X44" s="86"/>
      <c r="Y44" s="591"/>
      <c r="Z44" s="591"/>
      <c r="AA44" s="591"/>
      <c r="AB44" s="584"/>
      <c r="AC44" s="622"/>
      <c r="AD44" s="623"/>
      <c r="AE44" s="622"/>
      <c r="AF44" s="624"/>
      <c r="AG44" s="624"/>
      <c r="AH44" s="624"/>
      <c r="AI44" s="624"/>
      <c r="AJ44" s="591"/>
      <c r="AK44" s="591"/>
      <c r="AL44" s="591"/>
      <c r="AM44" s="591"/>
      <c r="AN44" s="591"/>
      <c r="AO44" s="591"/>
      <c r="AP44" s="591"/>
      <c r="AQ44" s="591"/>
      <c r="AR44" s="591"/>
      <c r="AS44" s="591"/>
      <c r="AT44" s="625"/>
      <c r="AU44" s="625"/>
      <c r="AV44" s="91"/>
      <c r="AX44" s="5" t="s">
        <v>59</v>
      </c>
      <c r="BG44" s="10"/>
      <c r="BN44" s="88" t="s">
        <v>60</v>
      </c>
      <c r="BT44" s="92" t="s">
        <v>61</v>
      </c>
      <c r="BU44" s="495">
        <f>BU43</f>
        <v>0.80112793713701758</v>
      </c>
      <c r="BV44" s="495">
        <f>IF(BV43&lt;0,"0%",BV43)</f>
        <v>0.58774392121019325</v>
      </c>
      <c r="BW44" s="496">
        <f>IF(BW43&lt;0,"0%",BW43)</f>
        <v>0.90406424690333531</v>
      </c>
    </row>
    <row r="45" spans="1:256" ht="26.5" thickBot="1">
      <c r="B45" s="528" t="s">
        <v>322</v>
      </c>
      <c r="C45" s="528" t="s">
        <v>323</v>
      </c>
      <c r="E45" s="93"/>
      <c r="F45" s="93"/>
      <c r="G45" s="93"/>
      <c r="H45" s="93"/>
      <c r="I45" s="94"/>
      <c r="J45" s="5"/>
      <c r="K45" s="5"/>
      <c r="R45" s="95"/>
      <c r="S45" s="95"/>
      <c r="T45" s="95"/>
      <c r="U45" s="95"/>
      <c r="V45" s="95"/>
      <c r="W45" s="95"/>
      <c r="X45" s="95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626"/>
      <c r="AJ45" s="627"/>
      <c r="AK45" s="627"/>
      <c r="AL45" s="628"/>
      <c r="AM45" s="629"/>
      <c r="AN45" s="591"/>
      <c r="AO45" s="630" t="s">
        <v>394</v>
      </c>
      <c r="AP45" s="631" t="e">
        <f>TINV((1-$H$1),(AB43-2))</f>
        <v>#NUM!</v>
      </c>
      <c r="AQ45" s="591"/>
      <c r="AR45" s="632" t="s">
        <v>63</v>
      </c>
      <c r="AS45" s="633">
        <f>$H$1</f>
        <v>0.95</v>
      </c>
      <c r="AT45" s="634" t="e">
        <f>EXP(AM43-AP45*SQRT((1/AD43)+AH43))</f>
        <v>#NUM!</v>
      </c>
      <c r="AU45" s="634" t="e">
        <f>EXP(AM43+AP45*SQRT((1/AD43)+AH43))</f>
        <v>#NUM!</v>
      </c>
      <c r="AV45" s="16"/>
      <c r="AX45" s="102">
        <f>_xlfn.CHISQ.DIST.RT(AX43,AY43-1)</f>
        <v>2.493552316319492E-2</v>
      </c>
      <c r="AY45" s="103" t="str">
        <f>IF(AX45&lt;0.05,"heterogeneidad","homogeneidad")</f>
        <v>heterogeneidad</v>
      </c>
      <c r="BF45" s="104"/>
      <c r="BG45" s="10"/>
      <c r="BH45" s="10"/>
      <c r="BJ45" s="43"/>
      <c r="BL45" s="10"/>
      <c r="BM45" s="105"/>
      <c r="BQ45" s="10"/>
    </row>
    <row r="46" spans="1:256" ht="14.5">
      <c r="C46" s="84"/>
      <c r="D46" s="84"/>
      <c r="E46" s="84"/>
      <c r="F46" s="84"/>
      <c r="G46" s="84"/>
      <c r="H46" s="84"/>
      <c r="I46" s="85"/>
      <c r="R46" s="95"/>
      <c r="S46" s="95"/>
      <c r="T46" s="95"/>
      <c r="U46" s="95"/>
      <c r="V46" s="95"/>
      <c r="W46" s="95"/>
      <c r="X46" s="95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626"/>
      <c r="AJ46" s="627"/>
      <c r="AK46" s="627"/>
      <c r="AL46" s="628"/>
      <c r="AM46" s="629"/>
      <c r="AN46" s="635"/>
      <c r="AO46" s="636"/>
      <c r="AP46" s="637"/>
      <c r="AQ46" s="591"/>
      <c r="AR46" s="591"/>
      <c r="AS46" s="638"/>
      <c r="AT46" s="639"/>
      <c r="AU46" s="639"/>
      <c r="AV46" s="16"/>
      <c r="BF46" s="104"/>
      <c r="BG46" s="10"/>
      <c r="BH46" s="10"/>
      <c r="BJ46" s="43"/>
      <c r="BL46" s="10"/>
      <c r="BM46" s="109"/>
      <c r="BQ46" s="10"/>
    </row>
    <row r="47" spans="1:256" ht="13" customHeight="1">
      <c r="C47" s="84"/>
      <c r="D47" s="84"/>
      <c r="E47" s="84"/>
      <c r="F47" s="84"/>
      <c r="G47" s="84"/>
      <c r="H47" s="84"/>
      <c r="I47" s="85"/>
      <c r="J47" s="668" t="s">
        <v>4</v>
      </c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70"/>
      <c r="X47" s="11"/>
      <c r="Y47" s="671" t="s">
        <v>5</v>
      </c>
      <c r="Z47" s="672"/>
      <c r="AA47" s="672"/>
      <c r="AB47" s="672"/>
      <c r="AC47" s="672"/>
      <c r="AD47" s="672"/>
      <c r="AE47" s="672"/>
      <c r="AF47" s="672"/>
      <c r="AG47" s="672"/>
      <c r="AH47" s="672"/>
      <c r="AI47" s="672"/>
      <c r="AJ47" s="672"/>
      <c r="AK47" s="672"/>
      <c r="AL47" s="672"/>
      <c r="AM47" s="672"/>
      <c r="AN47" s="672"/>
      <c r="AO47" s="672"/>
      <c r="AP47" s="672"/>
      <c r="AQ47" s="672"/>
      <c r="AR47" s="672"/>
      <c r="AS47" s="672"/>
      <c r="AT47" s="672"/>
      <c r="AU47" s="673"/>
      <c r="AV47" s="11"/>
      <c r="AW47" s="668" t="s">
        <v>232</v>
      </c>
      <c r="AX47" s="669"/>
      <c r="AY47" s="669"/>
      <c r="AZ47" s="669"/>
      <c r="BA47" s="669"/>
      <c r="BB47" s="669"/>
      <c r="BC47" s="669"/>
      <c r="BD47" s="669"/>
      <c r="BE47" s="669"/>
      <c r="BF47" s="669"/>
      <c r="BG47" s="669"/>
      <c r="BH47" s="669"/>
      <c r="BI47" s="669"/>
      <c r="BJ47" s="669"/>
      <c r="BK47" s="669"/>
      <c r="BL47" s="669"/>
      <c r="BM47" s="669"/>
      <c r="BN47" s="669"/>
      <c r="BO47" s="669"/>
      <c r="BP47" s="669"/>
      <c r="BQ47" s="669"/>
      <c r="BR47" s="669"/>
      <c r="BS47" s="669"/>
      <c r="BT47" s="669"/>
      <c r="BU47" s="669"/>
      <c r="BV47" s="669"/>
      <c r="BW47" s="670"/>
    </row>
    <row r="48" spans="1:256">
      <c r="A48" s="644" t="s">
        <v>399</v>
      </c>
      <c r="B48" s="12" t="s">
        <v>6</v>
      </c>
      <c r="C48" s="677" t="s">
        <v>7</v>
      </c>
      <c r="D48" s="677"/>
      <c r="E48" s="677"/>
      <c r="F48" s="677" t="s">
        <v>8</v>
      </c>
      <c r="G48" s="677"/>
      <c r="H48" s="677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0"/>
      <c r="AR48" s="640"/>
      <c r="AS48" s="640"/>
      <c r="AT48" s="640"/>
      <c r="AU48" s="640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</row>
    <row r="49" spans="1:256" ht="60">
      <c r="B49" s="503" t="s">
        <v>375</v>
      </c>
      <c r="C49" s="15" t="s">
        <v>9</v>
      </c>
      <c r="D49" s="15" t="s">
        <v>10</v>
      </c>
      <c r="E49" s="15" t="s">
        <v>11</v>
      </c>
      <c r="F49" s="15" t="s">
        <v>9</v>
      </c>
      <c r="G49" s="15" t="s">
        <v>10</v>
      </c>
      <c r="H49" s="15" t="s">
        <v>11</v>
      </c>
      <c r="I49" s="16"/>
      <c r="K49" s="17" t="s">
        <v>12</v>
      </c>
      <c r="L49" s="17" t="s">
        <v>13</v>
      </c>
      <c r="M49" s="17" t="s">
        <v>14</v>
      </c>
      <c r="N49" s="18" t="s">
        <v>15</v>
      </c>
      <c r="O49" s="18" t="s">
        <v>16</v>
      </c>
      <c r="P49" s="18" t="s">
        <v>17</v>
      </c>
      <c r="Q49" s="486" t="s">
        <v>18</v>
      </c>
      <c r="R49" s="486" t="s">
        <v>19</v>
      </c>
      <c r="S49" s="487" t="s">
        <v>3</v>
      </c>
      <c r="T49" s="486" t="s">
        <v>20</v>
      </c>
      <c r="U49" s="486" t="s">
        <v>21</v>
      </c>
      <c r="V49" s="486" t="s">
        <v>22</v>
      </c>
      <c r="W49" s="486" t="s">
        <v>22</v>
      </c>
      <c r="X49" s="19"/>
      <c r="Y49" s="584"/>
      <c r="Z49" s="585" t="s">
        <v>376</v>
      </c>
      <c r="AA49" s="586" t="s">
        <v>377</v>
      </c>
      <c r="AB49" s="587" t="s">
        <v>25</v>
      </c>
      <c r="AC49" s="587" t="s">
        <v>26</v>
      </c>
      <c r="AD49" s="587" t="s">
        <v>378</v>
      </c>
      <c r="AE49" s="586" t="s">
        <v>379</v>
      </c>
      <c r="AF49" s="586" t="s">
        <v>380</v>
      </c>
      <c r="AG49" s="588" t="s">
        <v>381</v>
      </c>
      <c r="AH49" s="588" t="s">
        <v>382</v>
      </c>
      <c r="AI49" s="587" t="s">
        <v>383</v>
      </c>
      <c r="AJ49" s="586" t="s">
        <v>384</v>
      </c>
      <c r="AK49" s="586" t="s">
        <v>385</v>
      </c>
      <c r="AL49" s="586" t="s">
        <v>386</v>
      </c>
      <c r="AM49" s="587" t="s">
        <v>387</v>
      </c>
      <c r="AN49" s="589" t="s">
        <v>388</v>
      </c>
      <c r="AO49" s="586" t="s">
        <v>389</v>
      </c>
      <c r="AP49" s="586" t="s">
        <v>390</v>
      </c>
      <c r="AQ49" s="587" t="s">
        <v>391</v>
      </c>
      <c r="AR49" s="586" t="s">
        <v>392</v>
      </c>
      <c r="AS49" s="586" t="s">
        <v>393</v>
      </c>
      <c r="AT49" s="590" t="s">
        <v>22</v>
      </c>
      <c r="AU49" s="590" t="s">
        <v>22</v>
      </c>
      <c r="AV49" s="19"/>
      <c r="AX49" s="23" t="s">
        <v>42</v>
      </c>
      <c r="AY49" s="23" t="s">
        <v>25</v>
      </c>
      <c r="AZ49" s="24" t="s">
        <v>64</v>
      </c>
      <c r="BA49" s="25" t="s">
        <v>65</v>
      </c>
      <c r="BC49" s="3" t="s">
        <v>66</v>
      </c>
      <c r="BD49" s="3" t="s">
        <v>67</v>
      </c>
      <c r="BE49" s="3" t="s">
        <v>43</v>
      </c>
      <c r="BF49" s="3" t="s">
        <v>44</v>
      </c>
      <c r="BG49" s="3" t="s">
        <v>45</v>
      </c>
      <c r="BH49" s="3" t="s">
        <v>46</v>
      </c>
      <c r="BI49" s="3" t="s">
        <v>47</v>
      </c>
      <c r="BJ49" s="3" t="s">
        <v>68</v>
      </c>
      <c r="BK49" s="3" t="s">
        <v>48</v>
      </c>
      <c r="BL49" s="3" t="s">
        <v>49</v>
      </c>
      <c r="BM49" s="26" t="s">
        <v>69</v>
      </c>
      <c r="BN49" s="26" t="s">
        <v>70</v>
      </c>
      <c r="BO49" s="26" t="s">
        <v>71</v>
      </c>
      <c r="BP49" s="26" t="s">
        <v>72</v>
      </c>
      <c r="BQ49" s="26" t="s">
        <v>73</v>
      </c>
      <c r="BR49" s="27"/>
      <c r="BS49" s="18" t="s">
        <v>74</v>
      </c>
      <c r="BT49" s="18" t="s">
        <v>75</v>
      </c>
      <c r="BU49" s="486" t="s">
        <v>229</v>
      </c>
      <c r="BV49" s="486" t="s">
        <v>230</v>
      </c>
      <c r="BW49" s="486" t="s">
        <v>231</v>
      </c>
    </row>
    <row r="50" spans="1:256">
      <c r="B50" s="583" t="s">
        <v>434</v>
      </c>
      <c r="C50" s="29">
        <v>78</v>
      </c>
      <c r="D50" s="30">
        <v>2200</v>
      </c>
      <c r="E50" s="31">
        <v>2202</v>
      </c>
      <c r="F50" s="29">
        <v>125</v>
      </c>
      <c r="G50" s="30">
        <v>2194</v>
      </c>
      <c r="H50" s="31">
        <v>2199</v>
      </c>
      <c r="I50" s="32"/>
      <c r="K50" s="33">
        <f>(C50/E50)/(F50/H50)</f>
        <v>0.62314986376021797</v>
      </c>
      <c r="L50" s="34">
        <f>(D50/(C50*E50)+(G50/(F50*H50)))</f>
        <v>2.0790678308296548E-2</v>
      </c>
      <c r="M50" s="35">
        <f>1/L50</f>
        <v>48.098478807252221</v>
      </c>
      <c r="N50" s="36">
        <f>LN(K50)</f>
        <v>-0.47296823734057347</v>
      </c>
      <c r="O50" s="36">
        <f>M50*N50</f>
        <v>-22.749052740229011</v>
      </c>
      <c r="P50" s="36">
        <f>LN(K50)</f>
        <v>-0.47296823734057347</v>
      </c>
      <c r="Q50" s="37">
        <f>K50</f>
        <v>0.62314986376021797</v>
      </c>
      <c r="R50" s="38">
        <f>SQRT(1/M50)</f>
        <v>0.14418973024559187</v>
      </c>
      <c r="S50" s="39">
        <f>$H$2</f>
        <v>1.9599639845400536</v>
      </c>
      <c r="T50" s="40">
        <f>P50-(R50*S50)</f>
        <v>-0.75557491556247913</v>
      </c>
      <c r="U50" s="40">
        <f>P50+(R50*S50)</f>
        <v>-0.19036155911866776</v>
      </c>
      <c r="V50" s="41">
        <f>EXP(T50)</f>
        <v>0.46974047597452712</v>
      </c>
      <c r="W50" s="42">
        <f>EXP(U50)</f>
        <v>0.82666019337332064</v>
      </c>
      <c r="X50" s="43"/>
      <c r="Y50" s="591"/>
      <c r="Z50" s="592">
        <f>(N50-P53)^2</f>
        <v>6.3297954965032075E-3</v>
      </c>
      <c r="AA50" s="593">
        <f>M50*Z50</f>
        <v>0.30445353454280005</v>
      </c>
      <c r="AB50" s="594">
        <v>1</v>
      </c>
      <c r="AC50" s="595"/>
      <c r="AD50" s="595"/>
      <c r="AE50" s="596">
        <f>M50^2</f>
        <v>2313.4636635716911</v>
      </c>
      <c r="AF50" s="597"/>
      <c r="AG50" s="598">
        <f>AG53</f>
        <v>-1.4378479451550814E-2</v>
      </c>
      <c r="AH50" s="598" t="str">
        <f>AH53</f>
        <v>0</v>
      </c>
      <c r="AI50" s="593">
        <f>1/M50</f>
        <v>2.0790678308296548E-2</v>
      </c>
      <c r="AJ50" s="599">
        <f>1/(AH50+AI50)</f>
        <v>48.098478807252221</v>
      </c>
      <c r="AK50" s="600">
        <f>AJ50/AJ53</f>
        <v>0.28952421042258564</v>
      </c>
      <c r="AL50" s="601">
        <f>AJ50*N50</f>
        <v>-22.749052740229011</v>
      </c>
      <c r="AM50" s="601">
        <f>AL50/AJ50</f>
        <v>-0.47296823734057347</v>
      </c>
      <c r="AN50" s="602">
        <f>EXP(AM50)</f>
        <v>0.62314986376021797</v>
      </c>
      <c r="AO50" s="603">
        <f>1/AJ50</f>
        <v>2.0790678308296548E-2</v>
      </c>
      <c r="AP50" s="604">
        <f>SQRT(AO50)</f>
        <v>0.14418973024559187</v>
      </c>
      <c r="AQ50" s="605">
        <f>$H$2</f>
        <v>1.9599639845400536</v>
      </c>
      <c r="AR50" s="606">
        <f>AM50-(AQ50*AP50)</f>
        <v>-0.75557491556247913</v>
      </c>
      <c r="AS50" s="606">
        <f>AM50+(1.96*AP50)</f>
        <v>-0.19035636605921341</v>
      </c>
      <c r="AT50" s="607">
        <f>EXP(AR50)</f>
        <v>0.46974047597452712</v>
      </c>
      <c r="AU50" s="607">
        <f>EXP(AS50)</f>
        <v>0.82666448628</v>
      </c>
      <c r="AV50" s="16"/>
      <c r="AX50" s="53"/>
      <c r="AY50" s="53">
        <v>1</v>
      </c>
      <c r="AZ50" s="54"/>
      <c r="BA50" s="54"/>
      <c r="BC50" s="27"/>
      <c r="BD50" s="27"/>
      <c r="BE50" s="2"/>
      <c r="BF50" s="2"/>
      <c r="BG50" s="2"/>
      <c r="BH50" s="2"/>
      <c r="BI50" s="2"/>
      <c r="BJ50" s="2"/>
      <c r="BK50" s="2"/>
      <c r="BL50" s="2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</row>
    <row r="51" spans="1:256">
      <c r="B51" s="583" t="s">
        <v>435</v>
      </c>
      <c r="C51" s="29">
        <v>84</v>
      </c>
      <c r="D51" s="30">
        <v>2150</v>
      </c>
      <c r="E51" s="31">
        <v>2152</v>
      </c>
      <c r="F51" s="29">
        <v>120</v>
      </c>
      <c r="G51" s="30">
        <v>2146</v>
      </c>
      <c r="H51" s="31">
        <v>2152</v>
      </c>
      <c r="I51" s="32"/>
      <c r="K51" s="33">
        <f t="shared" ref="K51:K52" si="110">(C51/E51)/(F51/H51)</f>
        <v>0.70000000000000007</v>
      </c>
      <c r="L51" s="34">
        <f t="shared" ref="L51:L52" si="111">(D51/(C51*E51)+(G51/(F51*H51)))</f>
        <v>2.0203797132235794E-2</v>
      </c>
      <c r="M51" s="35">
        <f t="shared" ref="M51:M52" si="112">1/L51</f>
        <v>49.495646459668144</v>
      </c>
      <c r="N51" s="36">
        <f t="shared" ref="N51:N52" si="113">LN(K51)</f>
        <v>-0.35667494393873228</v>
      </c>
      <c r="O51" s="36">
        <f t="shared" ref="O51:O52" si="114">M51*N51</f>
        <v>-17.653856926213447</v>
      </c>
      <c r="P51" s="36">
        <f t="shared" ref="P51:P52" si="115">LN(K51)</f>
        <v>-0.35667494393873228</v>
      </c>
      <c r="Q51" s="37">
        <f t="shared" ref="Q51:Q52" si="116">K51</f>
        <v>0.70000000000000007</v>
      </c>
      <c r="R51" s="38">
        <f t="shared" ref="R51:R52" si="117">SQRT(1/M51)</f>
        <v>0.14214006167240745</v>
      </c>
      <c r="S51" s="39">
        <f t="shared" ref="S51:S53" si="118">$H$2</f>
        <v>1.9599639845400536</v>
      </c>
      <c r="T51" s="40">
        <f t="shared" ref="T51:T52" si="119">P51-(R51*S51)</f>
        <v>-0.63526434557695288</v>
      </c>
      <c r="U51" s="40">
        <f t="shared" ref="U51:U52" si="120">P51+(R51*S51)</f>
        <v>-7.8085542300511623E-2</v>
      </c>
      <c r="V51" s="41">
        <f t="shared" ref="V51:V52" si="121">EXP(T51)</f>
        <v>0.5297954207291008</v>
      </c>
      <c r="W51" s="42">
        <f t="shared" ref="W51:W52" si="122">EXP(U51)</f>
        <v>0.9248853063427116</v>
      </c>
      <c r="X51" s="43"/>
      <c r="Y51" s="591"/>
      <c r="Z51" s="592">
        <f>(N51-P53)^2</f>
        <v>1.3493339685199043E-3</v>
      </c>
      <c r="AA51" s="593">
        <f t="shared" ref="AA51:AA52" si="123">M51*Z51</f>
        <v>6.6786157061882165E-2</v>
      </c>
      <c r="AB51" s="594">
        <v>1</v>
      </c>
      <c r="AC51" s="595"/>
      <c r="AD51" s="595"/>
      <c r="AE51" s="596">
        <f t="shared" ref="AE51:AE52" si="124">M51^2</f>
        <v>2449.8190184604596</v>
      </c>
      <c r="AF51" s="597"/>
      <c r="AG51" s="598">
        <f>AG53</f>
        <v>-1.4378479451550814E-2</v>
      </c>
      <c r="AH51" s="598" t="str">
        <f>AH53</f>
        <v>0</v>
      </c>
      <c r="AI51" s="593">
        <f t="shared" ref="AI51:AI52" si="125">1/M51</f>
        <v>2.0203797132235794E-2</v>
      </c>
      <c r="AJ51" s="599">
        <f t="shared" ref="AJ51:AJ52" si="126">1/(AH51+AI51)</f>
        <v>49.495646459668144</v>
      </c>
      <c r="AK51" s="600">
        <f>AJ51/AJ53</f>
        <v>0.29793432798606889</v>
      </c>
      <c r="AL51" s="601">
        <f t="shared" ref="AL51:AL52" si="127">AJ51*N51</f>
        <v>-17.653856926213447</v>
      </c>
      <c r="AM51" s="601">
        <f t="shared" ref="AM51:AM52" si="128">AL51/AJ51</f>
        <v>-0.35667494393873223</v>
      </c>
      <c r="AN51" s="602">
        <f t="shared" ref="AN51:AN52" si="129">EXP(AM51)</f>
        <v>0.70000000000000007</v>
      </c>
      <c r="AO51" s="603">
        <f t="shared" ref="AO51:AO52" si="130">1/AJ51</f>
        <v>2.0203797132235794E-2</v>
      </c>
      <c r="AP51" s="604">
        <f t="shared" ref="AP51:AP52" si="131">SQRT(AO51)</f>
        <v>0.14214006167240745</v>
      </c>
      <c r="AQ51" s="605">
        <f t="shared" ref="AQ51:AQ53" si="132">$H$2</f>
        <v>1.9599639845400536</v>
      </c>
      <c r="AR51" s="606">
        <f t="shared" ref="AR51:AR52" si="133">AM51-(AQ51*AP51)</f>
        <v>-0.63526434557695288</v>
      </c>
      <c r="AS51" s="606">
        <f t="shared" ref="AS51:AS52" si="134">AM51+(1.96*AP51)</f>
        <v>-7.8080423060813642E-2</v>
      </c>
      <c r="AT51" s="607">
        <f t="shared" ref="AT51:AT52" si="135">EXP(AR51)</f>
        <v>0.5297954207291008</v>
      </c>
      <c r="AU51" s="607">
        <f t="shared" ref="AU51:AU52" si="136">EXP(AS51)</f>
        <v>0.92489004106440698</v>
      </c>
      <c r="AV51" s="16"/>
      <c r="AX51" s="53"/>
      <c r="AY51" s="53">
        <v>1</v>
      </c>
      <c r="AZ51" s="54"/>
      <c r="BA51" s="54"/>
      <c r="BC51" s="27"/>
      <c r="BD51" s="27"/>
      <c r="BE51" s="2"/>
      <c r="BF51" s="2"/>
      <c r="BG51" s="2"/>
      <c r="BH51" s="2"/>
      <c r="BI51" s="2"/>
      <c r="BJ51" s="2"/>
      <c r="BK51" s="2"/>
      <c r="BL51" s="2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</row>
    <row r="52" spans="1:256">
      <c r="B52" s="583" t="s">
        <v>445</v>
      </c>
      <c r="C52" s="29">
        <v>116</v>
      </c>
      <c r="D52" s="30">
        <v>3300</v>
      </c>
      <c r="E52" s="31">
        <v>3304</v>
      </c>
      <c r="F52" s="29">
        <v>167</v>
      </c>
      <c r="G52" s="30">
        <v>3301</v>
      </c>
      <c r="H52" s="31">
        <v>3305</v>
      </c>
      <c r="I52" s="32"/>
      <c r="K52" s="33">
        <f t="shared" si="110"/>
        <v>0.69482101172956745</v>
      </c>
      <c r="L52" s="34">
        <f t="shared" si="111"/>
        <v>1.4591029706784301E-2</v>
      </c>
      <c r="M52" s="35">
        <f t="shared" si="112"/>
        <v>68.535258997864702</v>
      </c>
      <c r="N52" s="36">
        <f t="shared" si="113"/>
        <v>-0.36410100366547254</v>
      </c>
      <c r="O52" s="36">
        <f t="shared" si="114"/>
        <v>-24.953756587595645</v>
      </c>
      <c r="P52" s="36">
        <f t="shared" si="115"/>
        <v>-0.36410100366547254</v>
      </c>
      <c r="Q52" s="37">
        <f t="shared" si="116"/>
        <v>0.69482101172956745</v>
      </c>
      <c r="R52" s="38">
        <f t="shared" si="117"/>
        <v>0.12079333469519045</v>
      </c>
      <c r="S52" s="39">
        <f t="shared" si="118"/>
        <v>1.9599639845400536</v>
      </c>
      <c r="T52" s="40">
        <f t="shared" si="119"/>
        <v>-0.60085158924053839</v>
      </c>
      <c r="U52" s="40">
        <f t="shared" si="120"/>
        <v>-0.12735041809040676</v>
      </c>
      <c r="V52" s="41">
        <f t="shared" si="121"/>
        <v>0.54834447295343092</v>
      </c>
      <c r="W52" s="42">
        <f t="shared" si="122"/>
        <v>0.88042510165302656</v>
      </c>
      <c r="X52" s="43"/>
      <c r="Y52" s="591"/>
      <c r="Z52" s="592">
        <f>(N52-P53)^2</f>
        <v>8.5891324707903604E-4</v>
      </c>
      <c r="AA52" s="593">
        <f t="shared" si="123"/>
        <v>5.8865841845258692E-2</v>
      </c>
      <c r="AB52" s="594">
        <v>1</v>
      </c>
      <c r="AC52" s="595"/>
      <c r="AD52" s="595"/>
      <c r="AE52" s="596">
        <f t="shared" si="124"/>
        <v>4697.0817259043943</v>
      </c>
      <c r="AF52" s="597"/>
      <c r="AG52" s="598">
        <f>AG53</f>
        <v>-1.4378479451550814E-2</v>
      </c>
      <c r="AH52" s="598" t="str">
        <f>AH53</f>
        <v>0</v>
      </c>
      <c r="AI52" s="593">
        <f t="shared" si="125"/>
        <v>1.4591029706784301E-2</v>
      </c>
      <c r="AJ52" s="599">
        <f t="shared" si="126"/>
        <v>68.535258997864702</v>
      </c>
      <c r="AK52" s="600">
        <f>AJ52/AJ53</f>
        <v>0.41254146159134547</v>
      </c>
      <c r="AL52" s="601">
        <f t="shared" si="127"/>
        <v>-24.953756587595645</v>
      </c>
      <c r="AM52" s="601">
        <f t="shared" si="128"/>
        <v>-0.36410100366547254</v>
      </c>
      <c r="AN52" s="602">
        <f t="shared" si="129"/>
        <v>0.69482101172956745</v>
      </c>
      <c r="AO52" s="603">
        <f t="shared" si="130"/>
        <v>1.4591029706784301E-2</v>
      </c>
      <c r="AP52" s="604">
        <f t="shared" si="131"/>
        <v>0.12079333469519045</v>
      </c>
      <c r="AQ52" s="605">
        <f t="shared" si="132"/>
        <v>1.9599639845400536</v>
      </c>
      <c r="AR52" s="606">
        <f t="shared" si="133"/>
        <v>-0.60085158924053839</v>
      </c>
      <c r="AS52" s="606">
        <f t="shared" si="134"/>
        <v>-0.12734606766289927</v>
      </c>
      <c r="AT52" s="607">
        <f t="shared" si="135"/>
        <v>0.54834447295343092</v>
      </c>
      <c r="AU52" s="607">
        <f t="shared" si="136"/>
        <v>0.8804289318869386</v>
      </c>
      <c r="AV52" s="16"/>
      <c r="AX52" s="53"/>
      <c r="AY52" s="53">
        <v>1</v>
      </c>
      <c r="AZ52" s="54"/>
      <c r="BA52" s="54"/>
      <c r="BC52" s="27"/>
      <c r="BD52" s="27"/>
      <c r="BE52" s="2"/>
      <c r="BF52" s="2"/>
      <c r="BG52" s="2"/>
      <c r="BH52" s="2"/>
      <c r="BI52" s="2"/>
      <c r="BJ52" s="2"/>
      <c r="BK52" s="2"/>
      <c r="BL52" s="2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</row>
    <row r="53" spans="1:256">
      <c r="B53" s="55">
        <f>COUNT(D50:D52)</f>
        <v>3</v>
      </c>
      <c r="C53" s="56">
        <f t="shared" ref="C53:H53" si="137">SUM(C50:C52)</f>
        <v>278</v>
      </c>
      <c r="D53" s="56">
        <f t="shared" si="137"/>
        <v>7650</v>
      </c>
      <c r="E53" s="56">
        <f t="shared" si="137"/>
        <v>7658</v>
      </c>
      <c r="F53" s="56">
        <f t="shared" si="137"/>
        <v>412</v>
      </c>
      <c r="G53" s="56">
        <f t="shared" si="137"/>
        <v>7641</v>
      </c>
      <c r="H53" s="56">
        <f t="shared" si="137"/>
        <v>7656</v>
      </c>
      <c r="I53" s="57"/>
      <c r="K53" s="58"/>
      <c r="L53" s="112"/>
      <c r="M53" s="60">
        <f>SUM(M50:M52)</f>
        <v>166.12938426478507</v>
      </c>
      <c r="N53" s="61"/>
      <c r="O53" s="62">
        <f>SUM(O50:O52)</f>
        <v>-65.356666254038103</v>
      </c>
      <c r="P53" s="63">
        <f>O53/M53</f>
        <v>-0.39340822542187648</v>
      </c>
      <c r="Q53" s="488">
        <f>EXP(P53)</f>
        <v>0.67475323992931191</v>
      </c>
      <c r="R53" s="488">
        <f>SQRT(1/M53)</f>
        <v>7.7584822751357349E-2</v>
      </c>
      <c r="S53" s="489">
        <f t="shared" si="118"/>
        <v>1.9599639845400536</v>
      </c>
      <c r="T53" s="490">
        <f>P53-(R53*S53)</f>
        <v>-0.5454716837614606</v>
      </c>
      <c r="U53" s="490">
        <f>P53+(R53*S53)</f>
        <v>-0.24134476708229233</v>
      </c>
      <c r="V53" s="491">
        <f>EXP(T53)</f>
        <v>0.57956834587950323</v>
      </c>
      <c r="W53" s="492">
        <f>EXP(U53)</f>
        <v>0.78557074076257838</v>
      </c>
      <c r="X53" s="65"/>
      <c r="Y53" s="608"/>
      <c r="Z53" s="609"/>
      <c r="AA53" s="610">
        <f>SUM(AA50:AA52)</f>
        <v>0.4301055334499409</v>
      </c>
      <c r="AB53" s="611">
        <f>SUM(AB50:AB52)</f>
        <v>3</v>
      </c>
      <c r="AC53" s="612">
        <f>AA53-(AB53-1)</f>
        <v>-1.5698944665500592</v>
      </c>
      <c r="AD53" s="613">
        <f>M53</f>
        <v>166.12938426478507</v>
      </c>
      <c r="AE53" s="613">
        <f>SUM(AE50:AE52)</f>
        <v>9460.364407936544</v>
      </c>
      <c r="AF53" s="614">
        <f>AE53/AD53</f>
        <v>56.945762182914955</v>
      </c>
      <c r="AG53" s="615">
        <f>AC53/(AD53-AF53)</f>
        <v>-1.4378479451550814E-2</v>
      </c>
      <c r="AH53" s="615" t="str">
        <f>IF(AA53&lt;AB53-1,"0",AG53)</f>
        <v>0</v>
      </c>
      <c r="AI53" s="609"/>
      <c r="AJ53" s="613">
        <f>SUM(AJ50:AJ52)</f>
        <v>166.12938426478507</v>
      </c>
      <c r="AK53" s="616">
        <f>SUM(AK50:AK52)</f>
        <v>1</v>
      </c>
      <c r="AL53" s="612">
        <f>SUM(AL50:AL52)</f>
        <v>-65.356666254038103</v>
      </c>
      <c r="AM53" s="612">
        <f>AL53/AJ53</f>
        <v>-0.39340822542187648</v>
      </c>
      <c r="AN53" s="617">
        <f>EXP(AM53)</f>
        <v>0.67475323992931191</v>
      </c>
      <c r="AO53" s="618">
        <f>1/AJ53</f>
        <v>6.0194047213595371E-3</v>
      </c>
      <c r="AP53" s="619">
        <f>SQRT(AO53)</f>
        <v>7.7584822751357349E-2</v>
      </c>
      <c r="AQ53" s="605">
        <f t="shared" si="132"/>
        <v>1.9599639845400536</v>
      </c>
      <c r="AR53" s="620">
        <f>AM53-(AQ53*AP53)</f>
        <v>-0.5454716837614606</v>
      </c>
      <c r="AS53" s="620">
        <f>AM53+(1.96*AP53)</f>
        <v>-0.24134197282921607</v>
      </c>
      <c r="AT53" s="621">
        <f>EXP(AR53)</f>
        <v>0.57956834587950323</v>
      </c>
      <c r="AU53" s="621">
        <f>EXP(AS53)</f>
        <v>0.78557293584910415</v>
      </c>
      <c r="AV53" s="75"/>
      <c r="AW53" s="76"/>
      <c r="AX53" s="77">
        <f>AA53</f>
        <v>0.4301055334499409</v>
      </c>
      <c r="AY53" s="55">
        <f>SUM(AY50:AY52)</f>
        <v>3</v>
      </c>
      <c r="AZ53" s="78">
        <f>(AX53-(AY53-1))/AX53</f>
        <v>-3.6500215515892123</v>
      </c>
      <c r="BA53" s="79" t="str">
        <f>IF(AA53&lt;AB53-1,"0%",AZ53)</f>
        <v>0%</v>
      </c>
      <c r="BB53" s="76"/>
      <c r="BC53" s="62">
        <f>AX53/(AY53-1)</f>
        <v>0.21505276672497045</v>
      </c>
      <c r="BD53" s="80">
        <f>LN(BC53)</f>
        <v>-1.5368718543388928</v>
      </c>
      <c r="BE53" s="62">
        <f>LN(AX53)</f>
        <v>-0.84372467377894744</v>
      </c>
      <c r="BF53" s="62">
        <f>LN(AY53-1)</f>
        <v>0.69314718055994529</v>
      </c>
      <c r="BG53" s="62">
        <f>SQRT(2*AX53)</f>
        <v>0.92747564221378975</v>
      </c>
      <c r="BH53" s="62">
        <f>SQRT(2*AY53-3)</f>
        <v>1.7320508075688772</v>
      </c>
      <c r="BI53" s="62">
        <f>2*(AY53-2)</f>
        <v>2</v>
      </c>
      <c r="BJ53" s="62">
        <f>3*(AY53-2)^2</f>
        <v>3</v>
      </c>
      <c r="BK53" s="62">
        <f>1/BI53</f>
        <v>0.5</v>
      </c>
      <c r="BL53" s="81">
        <f>1/BJ53</f>
        <v>0.33333333333333331</v>
      </c>
      <c r="BM53" s="81">
        <f>SQRT(BK53*(1-BL53))</f>
        <v>0.57735026918962584</v>
      </c>
      <c r="BN53" s="82">
        <f>0.5*(BE53-BF53)/(BG53-BH53)</f>
        <v>0.95508283160878871</v>
      </c>
      <c r="BO53" s="82">
        <f>IF(AA53&lt;=AB53,BM53,BN53)</f>
        <v>0.57735026918962584</v>
      </c>
      <c r="BP53" s="69">
        <f>BD53-(1.96*BO53)</f>
        <v>-2.6684783819505595</v>
      </c>
      <c r="BQ53" s="69">
        <f>BD53+(1.96*BO53)</f>
        <v>-0.40526532672722615</v>
      </c>
      <c r="BR53" s="69"/>
      <c r="BS53" s="80">
        <f>EXP(BP53)</f>
        <v>6.9357680956601761E-2</v>
      </c>
      <c r="BT53" s="80">
        <f>EXP(BQ53)</f>
        <v>0.66679986755904486</v>
      </c>
      <c r="BU53" s="83" t="str">
        <f>BA53</f>
        <v>0%</v>
      </c>
      <c r="BV53" s="83">
        <f>(BS53-1)/BS53</f>
        <v>-13.418013783155702</v>
      </c>
      <c r="BW53" s="83">
        <f>(BT53-1)/BT53</f>
        <v>-0.49970035786104955</v>
      </c>
    </row>
    <row r="54" spans="1:256" ht="13.5" thickBot="1">
      <c r="E54" s="84"/>
      <c r="F54" s="84"/>
      <c r="G54" s="84"/>
      <c r="H54" s="84"/>
      <c r="I54" s="85"/>
      <c r="R54" s="86"/>
      <c r="S54" s="86"/>
      <c r="T54" s="86"/>
      <c r="U54" s="86"/>
      <c r="V54" s="86"/>
      <c r="W54" s="86"/>
      <c r="X54" s="86"/>
      <c r="Y54" s="591"/>
      <c r="Z54" s="591"/>
      <c r="AA54" s="591"/>
      <c r="AB54" s="584"/>
      <c r="AC54" s="622"/>
      <c r="AD54" s="623"/>
      <c r="AE54" s="622"/>
      <c r="AF54" s="624"/>
      <c r="AG54" s="624"/>
      <c r="AH54" s="624"/>
      <c r="AI54" s="624"/>
      <c r="AJ54" s="591"/>
      <c r="AK54" s="591"/>
      <c r="AL54" s="591"/>
      <c r="AM54" s="591"/>
      <c r="AN54" s="591"/>
      <c r="AO54" s="591"/>
      <c r="AP54" s="591"/>
      <c r="AQ54" s="591"/>
      <c r="AR54" s="591"/>
      <c r="AS54" s="591"/>
      <c r="AT54" s="625"/>
      <c r="AU54" s="625"/>
      <c r="AV54" s="91"/>
      <c r="AX54" s="5" t="s">
        <v>59</v>
      </c>
      <c r="BG54" s="10"/>
      <c r="BN54" s="88" t="s">
        <v>60</v>
      </c>
      <c r="BT54" s="92" t="s">
        <v>61</v>
      </c>
      <c r="BU54" s="495" t="str">
        <f>BU53</f>
        <v>0%</v>
      </c>
      <c r="BV54" s="495" t="str">
        <f>IF(BV53&lt;0,"0%",BV53)</f>
        <v>0%</v>
      </c>
      <c r="BW54" s="496" t="str">
        <f>IF(BW53&lt;0,"0%",BW53)</f>
        <v>0%</v>
      </c>
    </row>
    <row r="55" spans="1:256" ht="26.5" thickBot="1">
      <c r="B55" s="518" t="s">
        <v>325</v>
      </c>
      <c r="E55" s="93"/>
      <c r="F55" s="93"/>
      <c r="G55" s="93"/>
      <c r="H55" s="93"/>
      <c r="I55" s="94"/>
      <c r="J55" s="5"/>
      <c r="K55" s="5"/>
      <c r="R55" s="95"/>
      <c r="S55" s="95"/>
      <c r="T55" s="95"/>
      <c r="U55" s="95"/>
      <c r="V55" s="95"/>
      <c r="W55" s="95"/>
      <c r="X55" s="95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626"/>
      <c r="AJ55" s="627"/>
      <c r="AK55" s="627"/>
      <c r="AL55" s="628"/>
      <c r="AM55" s="629"/>
      <c r="AN55" s="591"/>
      <c r="AO55" s="630" t="s">
        <v>394</v>
      </c>
      <c r="AP55" s="631">
        <f>TINV((1-$H$1),(AB53-2))</f>
        <v>12.706204736174694</v>
      </c>
      <c r="AQ55" s="591"/>
      <c r="AR55" s="632" t="s">
        <v>63</v>
      </c>
      <c r="AS55" s="633">
        <f>$H$1</f>
        <v>0.95</v>
      </c>
      <c r="AT55" s="621">
        <f>EXP(AM53-AP55*SQRT((1/AD53)+AH53))</f>
        <v>0.25177564951172438</v>
      </c>
      <c r="AU55" s="621">
        <f>EXP(AM53+AP55*SQRT((1/AD53)+AH53))</f>
        <v>1.8083239410882823</v>
      </c>
      <c r="AV55" s="16"/>
      <c r="AX55" s="102">
        <f>_xlfn.CHISQ.DIST.RT(AX53,AY53-1)</f>
        <v>0.80649888274979364</v>
      </c>
      <c r="AY55" s="103" t="str">
        <f>IF(AX55&lt;0.05,"heterogeneidad","homogeneidad")</f>
        <v>homogeneidad</v>
      </c>
      <c r="BF55" s="104"/>
      <c r="BG55" s="10"/>
      <c r="BH55" s="10"/>
      <c r="BJ55" s="43"/>
      <c r="BL55" s="10"/>
      <c r="BM55" s="105"/>
      <c r="BQ55" s="10"/>
    </row>
    <row r="56" spans="1:256" ht="13" customHeight="1">
      <c r="C56" s="84"/>
      <c r="D56" s="84"/>
      <c r="E56" s="84"/>
      <c r="F56" s="84"/>
      <c r="G56" s="84"/>
      <c r="H56" s="84"/>
      <c r="I56" s="85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11"/>
      <c r="Y56" s="641"/>
      <c r="Z56" s="641"/>
      <c r="AA56" s="641"/>
      <c r="AB56" s="641"/>
      <c r="AC56" s="641"/>
      <c r="AD56" s="641"/>
      <c r="AE56" s="641"/>
      <c r="AF56" s="641"/>
      <c r="AG56" s="641"/>
      <c r="AH56" s="641"/>
      <c r="AI56" s="641"/>
      <c r="AJ56" s="641"/>
      <c r="AK56" s="641"/>
      <c r="AL56" s="641"/>
      <c r="AM56" s="641"/>
      <c r="AN56" s="641"/>
      <c r="AO56" s="641"/>
      <c r="AP56" s="641"/>
      <c r="AQ56" s="641"/>
      <c r="AR56" s="641"/>
      <c r="AS56" s="641"/>
      <c r="AT56" s="641"/>
      <c r="AU56" s="641"/>
      <c r="AV56" s="11"/>
      <c r="AW56" s="520"/>
      <c r="AX56" s="520"/>
      <c r="AY56" s="520"/>
      <c r="AZ56" s="520"/>
      <c r="BA56" s="520"/>
      <c r="BB56" s="520"/>
      <c r="BC56" s="520"/>
      <c r="BD56" s="520"/>
      <c r="BE56" s="520"/>
      <c r="BF56" s="520"/>
      <c r="BG56" s="520"/>
      <c r="BH56" s="520"/>
      <c r="BI56" s="520"/>
      <c r="BJ56" s="520"/>
      <c r="BK56" s="520"/>
      <c r="BL56" s="520"/>
      <c r="BM56" s="520"/>
      <c r="BN56" s="520"/>
      <c r="BO56" s="520"/>
      <c r="BP56" s="520"/>
      <c r="BQ56" s="520"/>
      <c r="BR56" s="520"/>
      <c r="BS56" s="520"/>
      <c r="BT56" s="520"/>
      <c r="BU56" s="520"/>
      <c r="BV56" s="520"/>
      <c r="BW56" s="520"/>
    </row>
    <row r="57" spans="1:256" ht="13" customHeight="1">
      <c r="C57" s="84"/>
      <c r="D57" s="84"/>
      <c r="E57" s="84"/>
      <c r="F57" s="84"/>
      <c r="G57" s="84"/>
      <c r="H57" s="84"/>
      <c r="I57" s="85"/>
      <c r="J57" s="668" t="s">
        <v>4</v>
      </c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70"/>
      <c r="X57" s="11"/>
      <c r="Y57" s="671" t="s">
        <v>5</v>
      </c>
      <c r="Z57" s="672"/>
      <c r="AA57" s="672"/>
      <c r="AB57" s="672"/>
      <c r="AC57" s="672"/>
      <c r="AD57" s="672"/>
      <c r="AE57" s="672"/>
      <c r="AF57" s="672"/>
      <c r="AG57" s="672"/>
      <c r="AH57" s="672"/>
      <c r="AI57" s="672"/>
      <c r="AJ57" s="672"/>
      <c r="AK57" s="672"/>
      <c r="AL57" s="672"/>
      <c r="AM57" s="672"/>
      <c r="AN57" s="672"/>
      <c r="AO57" s="672"/>
      <c r="AP57" s="672"/>
      <c r="AQ57" s="672"/>
      <c r="AR57" s="672"/>
      <c r="AS57" s="672"/>
      <c r="AT57" s="672"/>
      <c r="AU57" s="673"/>
      <c r="AV57" s="11"/>
      <c r="AW57" s="668" t="s">
        <v>232</v>
      </c>
      <c r="AX57" s="669"/>
      <c r="AY57" s="669"/>
      <c r="AZ57" s="669"/>
      <c r="BA57" s="669"/>
      <c r="BB57" s="669"/>
      <c r="BC57" s="669"/>
      <c r="BD57" s="669"/>
      <c r="BE57" s="669"/>
      <c r="BF57" s="669"/>
      <c r="BG57" s="669"/>
      <c r="BH57" s="669"/>
      <c r="BI57" s="669"/>
      <c r="BJ57" s="669"/>
      <c r="BK57" s="669"/>
      <c r="BL57" s="669"/>
      <c r="BM57" s="669"/>
      <c r="BN57" s="669"/>
      <c r="BO57" s="669"/>
      <c r="BP57" s="669"/>
      <c r="BQ57" s="669"/>
      <c r="BR57" s="669"/>
      <c r="BS57" s="669"/>
      <c r="BT57" s="669"/>
      <c r="BU57" s="669"/>
      <c r="BV57" s="669"/>
      <c r="BW57" s="670"/>
    </row>
    <row r="58" spans="1:256">
      <c r="A58" s="642" t="s">
        <v>400</v>
      </c>
      <c r="B58" s="12" t="s">
        <v>6</v>
      </c>
      <c r="C58" s="677" t="s">
        <v>7</v>
      </c>
      <c r="D58" s="677"/>
      <c r="E58" s="677"/>
      <c r="F58" s="677" t="s">
        <v>8</v>
      </c>
      <c r="G58" s="677"/>
      <c r="H58" s="677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640"/>
      <c r="AP58" s="640"/>
      <c r="AQ58" s="640"/>
      <c r="AR58" s="640"/>
      <c r="AS58" s="640"/>
      <c r="AT58" s="640"/>
      <c r="AU58" s="640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60">
      <c r="B59" s="503" t="s">
        <v>448</v>
      </c>
      <c r="C59" s="15" t="s">
        <v>9</v>
      </c>
      <c r="D59" s="15" t="s">
        <v>10</v>
      </c>
      <c r="E59" s="15" t="s">
        <v>11</v>
      </c>
      <c r="F59" s="15" t="s">
        <v>9</v>
      </c>
      <c r="G59" s="15" t="s">
        <v>10</v>
      </c>
      <c r="H59" s="15" t="s">
        <v>11</v>
      </c>
      <c r="I59" s="16"/>
      <c r="K59" s="17" t="s">
        <v>12</v>
      </c>
      <c r="L59" s="17" t="s">
        <v>13</v>
      </c>
      <c r="M59" s="17" t="s">
        <v>14</v>
      </c>
      <c r="N59" s="18" t="s">
        <v>15</v>
      </c>
      <c r="O59" s="18" t="s">
        <v>16</v>
      </c>
      <c r="P59" s="18" t="s">
        <v>17</v>
      </c>
      <c r="Q59" s="486" t="s">
        <v>18</v>
      </c>
      <c r="R59" s="486" t="s">
        <v>19</v>
      </c>
      <c r="S59" s="487" t="s">
        <v>3</v>
      </c>
      <c r="T59" s="486" t="s">
        <v>20</v>
      </c>
      <c r="U59" s="486" t="s">
        <v>21</v>
      </c>
      <c r="V59" s="486" t="s">
        <v>22</v>
      </c>
      <c r="W59" s="486" t="s">
        <v>22</v>
      </c>
      <c r="X59" s="19"/>
      <c r="Y59" s="584"/>
      <c r="Z59" s="585" t="s">
        <v>376</v>
      </c>
      <c r="AA59" s="586" t="s">
        <v>377</v>
      </c>
      <c r="AB59" s="587" t="s">
        <v>25</v>
      </c>
      <c r="AC59" s="587" t="s">
        <v>26</v>
      </c>
      <c r="AD59" s="587" t="s">
        <v>378</v>
      </c>
      <c r="AE59" s="586" t="s">
        <v>379</v>
      </c>
      <c r="AF59" s="586" t="s">
        <v>380</v>
      </c>
      <c r="AG59" s="588" t="s">
        <v>381</v>
      </c>
      <c r="AH59" s="588" t="s">
        <v>382</v>
      </c>
      <c r="AI59" s="587" t="s">
        <v>383</v>
      </c>
      <c r="AJ59" s="586" t="s">
        <v>384</v>
      </c>
      <c r="AK59" s="586" t="s">
        <v>385</v>
      </c>
      <c r="AL59" s="586" t="s">
        <v>386</v>
      </c>
      <c r="AM59" s="587" t="s">
        <v>387</v>
      </c>
      <c r="AN59" s="589" t="s">
        <v>388</v>
      </c>
      <c r="AO59" s="586" t="s">
        <v>389</v>
      </c>
      <c r="AP59" s="586" t="s">
        <v>390</v>
      </c>
      <c r="AQ59" s="587" t="s">
        <v>391</v>
      </c>
      <c r="AR59" s="586" t="s">
        <v>392</v>
      </c>
      <c r="AS59" s="586" t="s">
        <v>393</v>
      </c>
      <c r="AT59" s="590" t="s">
        <v>22</v>
      </c>
      <c r="AU59" s="590" t="s">
        <v>22</v>
      </c>
      <c r="AV59" s="19"/>
      <c r="AX59" s="23" t="s">
        <v>42</v>
      </c>
      <c r="AY59" s="23" t="s">
        <v>25</v>
      </c>
      <c r="AZ59" s="24" t="s">
        <v>64</v>
      </c>
      <c r="BA59" s="25" t="s">
        <v>65</v>
      </c>
      <c r="BC59" s="3" t="s">
        <v>66</v>
      </c>
      <c r="BD59" s="3" t="s">
        <v>67</v>
      </c>
      <c r="BE59" s="3" t="s">
        <v>43</v>
      </c>
      <c r="BF59" s="3" t="s">
        <v>44</v>
      </c>
      <c r="BG59" s="3" t="s">
        <v>45</v>
      </c>
      <c r="BH59" s="3" t="s">
        <v>46</v>
      </c>
      <c r="BI59" s="3" t="s">
        <v>47</v>
      </c>
      <c r="BJ59" s="3" t="s">
        <v>68</v>
      </c>
      <c r="BK59" s="3" t="s">
        <v>48</v>
      </c>
      <c r="BL59" s="3" t="s">
        <v>49</v>
      </c>
      <c r="BM59" s="26" t="s">
        <v>69</v>
      </c>
      <c r="BN59" s="26" t="s">
        <v>70</v>
      </c>
      <c r="BO59" s="26" t="s">
        <v>71</v>
      </c>
      <c r="BP59" s="26" t="s">
        <v>72</v>
      </c>
      <c r="BQ59" s="26" t="s">
        <v>73</v>
      </c>
      <c r="BR59" s="27"/>
      <c r="BS59" s="18" t="s">
        <v>74</v>
      </c>
      <c r="BT59" s="18" t="s">
        <v>75</v>
      </c>
      <c r="BU59" s="486" t="s">
        <v>229</v>
      </c>
      <c r="BV59" s="486" t="s">
        <v>230</v>
      </c>
      <c r="BW59" s="486" t="s">
        <v>231</v>
      </c>
    </row>
    <row r="60" spans="1:256">
      <c r="A60" s="5"/>
      <c r="B60" s="583" t="s">
        <v>434</v>
      </c>
      <c r="C60" s="29">
        <v>76</v>
      </c>
      <c r="D60" s="30">
        <v>2200</v>
      </c>
      <c r="E60" s="31">
        <v>2202</v>
      </c>
      <c r="F60" s="29">
        <v>100</v>
      </c>
      <c r="G60" s="30">
        <v>2194</v>
      </c>
      <c r="H60" s="31">
        <v>2199</v>
      </c>
      <c r="I60" s="32"/>
      <c r="K60" s="33">
        <f>(C60/E60)/(F60/H60)</f>
        <v>0.7589645776566758</v>
      </c>
      <c r="L60" s="34">
        <f>(D60/(C60*E60)+(G60/(F60*H60)))</f>
        <v>2.3123206270766857E-2</v>
      </c>
      <c r="M60" s="35">
        <f>1/L60</f>
        <v>43.246597737798758</v>
      </c>
      <c r="N60" s="36">
        <f>LN(K60)</f>
        <v>-0.27580017242962429</v>
      </c>
      <c r="O60" s="36">
        <f>M60*N60</f>
        <v>-11.927419113079498</v>
      </c>
      <c r="P60" s="36">
        <f>LN(K60)</f>
        <v>-0.27580017242962429</v>
      </c>
      <c r="Q60" s="37">
        <f>K60</f>
        <v>0.7589645776566758</v>
      </c>
      <c r="R60" s="38">
        <f>SQRT(1/M60)</f>
        <v>0.15206316539769538</v>
      </c>
      <c r="S60" s="39">
        <f>$H$2</f>
        <v>1.9599639845400536</v>
      </c>
      <c r="T60" s="40">
        <f>P60-(R60*S60)</f>
        <v>-0.57383849998426451</v>
      </c>
      <c r="U60" s="40">
        <f>P60+(R60*S60)</f>
        <v>2.2238155125015924E-2</v>
      </c>
      <c r="V60" s="41">
        <f>EXP(T60)</f>
        <v>0.56335883023551359</v>
      </c>
      <c r="W60" s="42">
        <f>EXP(U60)</f>
        <v>1.0224872660587687</v>
      </c>
      <c r="X60" s="43"/>
      <c r="Y60" s="591"/>
      <c r="Z60" s="592">
        <f>(N60-P63)^2</f>
        <v>1.5565621801993073E-2</v>
      </c>
      <c r="AA60" s="593">
        <f>M60*Z60</f>
        <v>0.67316018460950466</v>
      </c>
      <c r="AB60" s="594">
        <v>1</v>
      </c>
      <c r="AC60" s="595"/>
      <c r="AD60" s="595"/>
      <c r="AE60" s="596">
        <f>M60^2</f>
        <v>1870.2682158949806</v>
      </c>
      <c r="AF60" s="597"/>
      <c r="AG60" s="598">
        <f>AG63</f>
        <v>-2.7801840838820192E-3</v>
      </c>
      <c r="AH60" s="598" t="str">
        <f>AH63</f>
        <v>0</v>
      </c>
      <c r="AI60" s="593">
        <f>1/M60</f>
        <v>2.3123206270766857E-2</v>
      </c>
      <c r="AJ60" s="599">
        <f>1/(AH60+AI60)</f>
        <v>43.246597737798758</v>
      </c>
      <c r="AK60" s="600">
        <f>AJ60/AJ63</f>
        <v>0.28572993289678728</v>
      </c>
      <c r="AL60" s="601">
        <f>AJ60*N60</f>
        <v>-11.927419113079498</v>
      </c>
      <c r="AM60" s="601">
        <f>AL60/AJ60</f>
        <v>-0.27580017242962429</v>
      </c>
      <c r="AN60" s="602">
        <f>EXP(AM60)</f>
        <v>0.7589645776566758</v>
      </c>
      <c r="AO60" s="603">
        <f>1/AJ60</f>
        <v>2.3123206270766857E-2</v>
      </c>
      <c r="AP60" s="604">
        <f>SQRT(AO60)</f>
        <v>0.15206316539769538</v>
      </c>
      <c r="AQ60" s="605">
        <f>$H$2</f>
        <v>1.9599639845400536</v>
      </c>
      <c r="AR60" s="606">
        <f>AM60-(AQ60*AP60)</f>
        <v>-0.57383849998426451</v>
      </c>
      <c r="AS60" s="606">
        <f>AM60+(1.96*AP60)</f>
        <v>2.2243631749858661E-2</v>
      </c>
      <c r="AT60" s="607">
        <f>EXP(AR60)</f>
        <v>0.56335883023551359</v>
      </c>
      <c r="AU60" s="607">
        <f>EXP(AS60)</f>
        <v>1.0224928658532655</v>
      </c>
      <c r="AV60" s="16"/>
      <c r="AX60" s="53"/>
      <c r="AY60" s="53">
        <v>1</v>
      </c>
      <c r="AZ60" s="54"/>
      <c r="BA60" s="54"/>
      <c r="BC60" s="27"/>
      <c r="BD60" s="27"/>
      <c r="BE60" s="2"/>
      <c r="BF60" s="2"/>
      <c r="BG60" s="2"/>
      <c r="BH60" s="2"/>
      <c r="BI60" s="2"/>
      <c r="BJ60" s="2"/>
      <c r="BK60" s="2"/>
      <c r="BL60" s="2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</row>
    <row r="61" spans="1:256">
      <c r="A61" s="5"/>
      <c r="B61" s="583" t="s">
        <v>435</v>
      </c>
      <c r="C61" s="29">
        <v>69</v>
      </c>
      <c r="D61" s="30">
        <v>2150</v>
      </c>
      <c r="E61" s="31">
        <v>2152</v>
      </c>
      <c r="F61" s="29">
        <v>120</v>
      </c>
      <c r="G61" s="30">
        <v>2146</v>
      </c>
      <c r="H61" s="31">
        <v>2152</v>
      </c>
      <c r="I61" s="32"/>
      <c r="K61" s="33">
        <f t="shared" ref="K61:K62" si="138">(C61/E61)/(F61/H61)</f>
        <v>0.57499999999999996</v>
      </c>
      <c r="L61" s="34">
        <f t="shared" ref="L61:L62" si="139">(D61/(C61*E61)+(G61/(F61*H61)))</f>
        <v>2.278938365389796E-2</v>
      </c>
      <c r="M61" s="35">
        <f t="shared" ref="M61:M62" si="140">1/L61</f>
        <v>43.88008097046351</v>
      </c>
      <c r="N61" s="36">
        <f t="shared" ref="N61:N62" si="141">LN(K61)</f>
        <v>-0.55338523818478669</v>
      </c>
      <c r="O61" s="36">
        <f t="shared" ref="O61:O62" si="142">M61*N61</f>
        <v>-24.282589059407677</v>
      </c>
      <c r="P61" s="36">
        <f t="shared" ref="P61:P62" si="143">LN(K61)</f>
        <v>-0.55338523818478669</v>
      </c>
      <c r="Q61" s="37">
        <f t="shared" ref="Q61:Q62" si="144">K61</f>
        <v>0.57499999999999996</v>
      </c>
      <c r="R61" s="38">
        <f t="shared" ref="R61:R62" si="145">SQRT(1/M61)</f>
        <v>0.15096153037743743</v>
      </c>
      <c r="S61" s="39">
        <f t="shared" ref="S61:S63" si="146">$H$2</f>
        <v>1.9599639845400536</v>
      </c>
      <c r="T61" s="40">
        <f t="shared" ref="T61:T62" si="147">P61-(R61*S61)</f>
        <v>-0.84926440077561327</v>
      </c>
      <c r="U61" s="40">
        <f t="shared" ref="U61:U62" si="148">P61+(R61*S61)</f>
        <v>-0.2575060755939601</v>
      </c>
      <c r="V61" s="41">
        <f t="shared" ref="V61:V62" si="149">EXP(T61)</f>
        <v>0.42772945370795806</v>
      </c>
      <c r="W61" s="42">
        <f t="shared" ref="W61:W62" si="150">EXP(U61)</f>
        <v>0.77297693000524959</v>
      </c>
      <c r="X61" s="43"/>
      <c r="Y61" s="591"/>
      <c r="Z61" s="592">
        <f>(N61-P63)^2</f>
        <v>2.3354809613840146E-2</v>
      </c>
      <c r="AA61" s="593">
        <f t="shared" ref="AA61:AA62" si="151">M61*Z61</f>
        <v>1.0248109369050653</v>
      </c>
      <c r="AB61" s="594">
        <v>1</v>
      </c>
      <c r="AC61" s="595"/>
      <c r="AD61" s="595"/>
      <c r="AE61" s="596">
        <f t="shared" ref="AE61:AE62" si="152">M61^2</f>
        <v>1925.4615059744337</v>
      </c>
      <c r="AF61" s="597"/>
      <c r="AG61" s="598">
        <f>AG63</f>
        <v>-2.7801840838820192E-3</v>
      </c>
      <c r="AH61" s="598" t="str">
        <f>AH63</f>
        <v>0</v>
      </c>
      <c r="AI61" s="593">
        <f t="shared" ref="AI61:AI62" si="153">1/M61</f>
        <v>2.278938365389796E-2</v>
      </c>
      <c r="AJ61" s="599">
        <f t="shared" ref="AJ61:AJ62" si="154">1/(AH61+AI61)</f>
        <v>43.88008097046351</v>
      </c>
      <c r="AK61" s="600">
        <f>AJ61/AJ63</f>
        <v>0.28991535165869686</v>
      </c>
      <c r="AL61" s="601">
        <f t="shared" ref="AL61:AL62" si="155">AJ61*N61</f>
        <v>-24.282589059407677</v>
      </c>
      <c r="AM61" s="601">
        <f t="shared" ref="AM61:AM62" si="156">AL61/AJ61</f>
        <v>-0.55338523818478669</v>
      </c>
      <c r="AN61" s="602">
        <f t="shared" ref="AN61:AN62" si="157">EXP(AM61)</f>
        <v>0.57499999999999996</v>
      </c>
      <c r="AO61" s="603">
        <f t="shared" ref="AO61:AO62" si="158">1/AJ61</f>
        <v>2.278938365389796E-2</v>
      </c>
      <c r="AP61" s="604">
        <f t="shared" ref="AP61:AP62" si="159">SQRT(AO61)</f>
        <v>0.15096153037743743</v>
      </c>
      <c r="AQ61" s="605">
        <f t="shared" ref="AQ61:AQ63" si="160">$H$2</f>
        <v>1.9599639845400536</v>
      </c>
      <c r="AR61" s="606">
        <f t="shared" ref="AR61:AR62" si="161">AM61-(AQ61*AP61)</f>
        <v>-0.84926440077561327</v>
      </c>
      <c r="AS61" s="606">
        <f t="shared" ref="AS61:AS62" si="162">AM61+(1.96*AP61)</f>
        <v>-0.25750063864500933</v>
      </c>
      <c r="AT61" s="607">
        <f t="shared" ref="AT61:AT62" si="163">EXP(AR61)</f>
        <v>0.42772945370795806</v>
      </c>
      <c r="AU61" s="607">
        <f t="shared" ref="AU61:AU62" si="164">EXP(AS61)</f>
        <v>0.77298113265278301</v>
      </c>
      <c r="AV61" s="16"/>
      <c r="AX61" s="53"/>
      <c r="AY61" s="53">
        <v>1</v>
      </c>
      <c r="AZ61" s="54"/>
      <c r="BA61" s="54"/>
      <c r="BC61" s="27"/>
      <c r="BD61" s="27"/>
      <c r="BE61" s="2"/>
      <c r="BF61" s="2"/>
      <c r="BG61" s="2"/>
      <c r="BH61" s="2"/>
      <c r="BI61" s="2"/>
      <c r="BJ61" s="2"/>
      <c r="BK61" s="2"/>
      <c r="BL61" s="2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</row>
    <row r="62" spans="1:256">
      <c r="A62" s="5"/>
      <c r="B62" s="583" t="s">
        <v>437</v>
      </c>
      <c r="C62" s="29">
        <v>108</v>
      </c>
      <c r="D62" s="30">
        <v>3300</v>
      </c>
      <c r="E62" s="31">
        <v>3304</v>
      </c>
      <c r="F62" s="29">
        <v>158</v>
      </c>
      <c r="G62" s="30">
        <v>3301</v>
      </c>
      <c r="H62" s="31">
        <v>3305</v>
      </c>
      <c r="I62" s="32"/>
      <c r="K62" s="33">
        <f t="shared" si="138"/>
        <v>0.68375118766665643</v>
      </c>
      <c r="L62" s="34">
        <f t="shared" si="139"/>
        <v>1.5569503379228133E-2</v>
      </c>
      <c r="M62" s="35">
        <f t="shared" si="140"/>
        <v>64.228124407239477</v>
      </c>
      <c r="N62" s="36">
        <f t="shared" si="141"/>
        <v>-0.38016118825782913</v>
      </c>
      <c r="O62" s="36">
        <f t="shared" si="142"/>
        <v>-24.417040094227836</v>
      </c>
      <c r="P62" s="36">
        <f t="shared" si="143"/>
        <v>-0.38016118825782913</v>
      </c>
      <c r="Q62" s="37">
        <f t="shared" si="144"/>
        <v>0.68375118766665643</v>
      </c>
      <c r="R62" s="38">
        <f t="shared" si="145"/>
        <v>0.12477781605408925</v>
      </c>
      <c r="S62" s="39">
        <f t="shared" si="146"/>
        <v>1.9599639845400536</v>
      </c>
      <c r="T62" s="40">
        <f t="shared" si="147"/>
        <v>-0.62472121379340773</v>
      </c>
      <c r="U62" s="40">
        <f t="shared" si="148"/>
        <v>-0.13560116272225051</v>
      </c>
      <c r="V62" s="41">
        <f t="shared" si="149"/>
        <v>0.53541067282484256</v>
      </c>
      <c r="W62" s="42">
        <f t="shared" si="150"/>
        <v>0.87319082409944626</v>
      </c>
      <c r="X62" s="43"/>
      <c r="Y62" s="591"/>
      <c r="Z62" s="592">
        <f>(N62-P63)^2</f>
        <v>4.1621080981868512E-4</v>
      </c>
      <c r="AA62" s="593">
        <f t="shared" si="151"/>
        <v>2.6732439672672397E-2</v>
      </c>
      <c r="AB62" s="594">
        <v>1</v>
      </c>
      <c r="AC62" s="595"/>
      <c r="AD62" s="595"/>
      <c r="AE62" s="596">
        <f t="shared" si="152"/>
        <v>4125.2519648718317</v>
      </c>
      <c r="AF62" s="597"/>
      <c r="AG62" s="598">
        <f>AG63</f>
        <v>-2.7801840838820192E-3</v>
      </c>
      <c r="AH62" s="598" t="str">
        <f>AH63</f>
        <v>0</v>
      </c>
      <c r="AI62" s="593">
        <f t="shared" si="153"/>
        <v>1.5569503379228133E-2</v>
      </c>
      <c r="AJ62" s="599">
        <f t="shared" si="154"/>
        <v>64.228124407239477</v>
      </c>
      <c r="AK62" s="600">
        <f>AJ62/AJ63</f>
        <v>0.42435471544451597</v>
      </c>
      <c r="AL62" s="601">
        <f t="shared" si="155"/>
        <v>-24.417040094227836</v>
      </c>
      <c r="AM62" s="601">
        <f t="shared" si="156"/>
        <v>-0.38016118825782913</v>
      </c>
      <c r="AN62" s="602">
        <f t="shared" si="157"/>
        <v>0.68375118766665643</v>
      </c>
      <c r="AO62" s="603">
        <f t="shared" si="158"/>
        <v>1.5569503379228133E-2</v>
      </c>
      <c r="AP62" s="604">
        <f t="shared" si="159"/>
        <v>0.12477781605408925</v>
      </c>
      <c r="AQ62" s="605">
        <f t="shared" si="160"/>
        <v>1.9599639845400536</v>
      </c>
      <c r="AR62" s="606">
        <f t="shared" si="161"/>
        <v>-0.62472121379340773</v>
      </c>
      <c r="AS62" s="606">
        <f t="shared" si="162"/>
        <v>-0.1355966687918142</v>
      </c>
      <c r="AT62" s="607">
        <f t="shared" si="163"/>
        <v>0.53541067282484256</v>
      </c>
      <c r="AU62" s="607">
        <f t="shared" si="164"/>
        <v>0.87319474816708464</v>
      </c>
      <c r="AV62" s="16"/>
      <c r="AX62" s="53"/>
      <c r="AY62" s="53">
        <v>1</v>
      </c>
      <c r="AZ62" s="54"/>
      <c r="BA62" s="54"/>
      <c r="BC62" s="27"/>
      <c r="BD62" s="27"/>
      <c r="BE62" s="2"/>
      <c r="BF62" s="2"/>
      <c r="BG62" s="2"/>
      <c r="BH62" s="2"/>
      <c r="BI62" s="2"/>
      <c r="BJ62" s="2"/>
      <c r="BK62" s="2"/>
      <c r="BL62" s="2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</row>
    <row r="63" spans="1:256">
      <c r="A63" s="5"/>
      <c r="B63" s="55">
        <f>COUNT(D60:D62)</f>
        <v>3</v>
      </c>
      <c r="C63" s="56">
        <f t="shared" ref="C63:H63" si="165">SUM(C60:C62)</f>
        <v>253</v>
      </c>
      <c r="D63" s="56">
        <f t="shared" si="165"/>
        <v>7650</v>
      </c>
      <c r="E63" s="56">
        <f t="shared" si="165"/>
        <v>7658</v>
      </c>
      <c r="F63" s="56">
        <f t="shared" si="165"/>
        <v>378</v>
      </c>
      <c r="G63" s="56">
        <f t="shared" si="165"/>
        <v>7641</v>
      </c>
      <c r="H63" s="56">
        <f t="shared" si="165"/>
        <v>7656</v>
      </c>
      <c r="I63" s="57"/>
      <c r="K63" s="58"/>
      <c r="L63" s="112"/>
      <c r="M63" s="60">
        <f>SUM(M60:M62)</f>
        <v>151.35480311550174</v>
      </c>
      <c r="N63" s="61"/>
      <c r="O63" s="62">
        <f>SUM(O60:O62)</f>
        <v>-60.627048266715015</v>
      </c>
      <c r="P63" s="63">
        <f>O63/M63</f>
        <v>-0.40056243355851323</v>
      </c>
      <c r="Q63" s="488">
        <f>EXP(P63)</f>
        <v>0.66994314154860624</v>
      </c>
      <c r="R63" s="488">
        <f>SQRT(1/M63)</f>
        <v>8.1283406523747423E-2</v>
      </c>
      <c r="S63" s="489">
        <f t="shared" si="146"/>
        <v>1.9599639845400536</v>
      </c>
      <c r="T63" s="490">
        <f>P63-(R63*S63)</f>
        <v>-0.55987498288578619</v>
      </c>
      <c r="U63" s="490">
        <f>P63+(R63*S63)</f>
        <v>-0.24124988423124025</v>
      </c>
      <c r="V63" s="491">
        <f>EXP(T63)</f>
        <v>0.57128047922156888</v>
      </c>
      <c r="W63" s="492">
        <f>EXP(U63)</f>
        <v>0.78564528149042745</v>
      </c>
      <c r="X63" s="65"/>
      <c r="Y63" s="608"/>
      <c r="Z63" s="609"/>
      <c r="AA63" s="610">
        <f>SUM(AA60:AA62)</f>
        <v>1.7247035611872423</v>
      </c>
      <c r="AB63" s="611">
        <f>SUM(AB60:AB62)</f>
        <v>3</v>
      </c>
      <c r="AC63" s="612">
        <f>AA63-(AB63-1)</f>
        <v>-0.27529643881275767</v>
      </c>
      <c r="AD63" s="613">
        <f>M63</f>
        <v>151.35480311550174</v>
      </c>
      <c r="AE63" s="613">
        <f>SUM(AE60:AE62)</f>
        <v>7920.9816867412464</v>
      </c>
      <c r="AF63" s="614">
        <f>AE63/AD63</f>
        <v>52.333864031368691</v>
      </c>
      <c r="AG63" s="615">
        <f>AC63/(AD63-AF63)</f>
        <v>-2.7801840838820192E-3</v>
      </c>
      <c r="AH63" s="615" t="str">
        <f>IF(AA63&lt;AB63-1,"0",AG63)</f>
        <v>0</v>
      </c>
      <c r="AI63" s="609"/>
      <c r="AJ63" s="613">
        <f>SUM(AJ60:AJ62)</f>
        <v>151.35480311550174</v>
      </c>
      <c r="AK63" s="616">
        <f>SUM(AK60:AK62)</f>
        <v>1</v>
      </c>
      <c r="AL63" s="612">
        <f>SUM(AL60:AL62)</f>
        <v>-60.627048266715015</v>
      </c>
      <c r="AM63" s="612">
        <f>AL63/AJ63</f>
        <v>-0.40056243355851323</v>
      </c>
      <c r="AN63" s="617">
        <f>EXP(AM63)</f>
        <v>0.66994314154860624</v>
      </c>
      <c r="AO63" s="618">
        <f>1/AJ63</f>
        <v>6.6069921761047843E-3</v>
      </c>
      <c r="AP63" s="619">
        <f>SQRT(AO63)</f>
        <v>8.1283406523747423E-2</v>
      </c>
      <c r="AQ63" s="605">
        <f t="shared" si="160"/>
        <v>1.9599639845400536</v>
      </c>
      <c r="AR63" s="620">
        <f>AM63-(AQ63*AP63)</f>
        <v>-0.55987498288578619</v>
      </c>
      <c r="AS63" s="620">
        <f>AM63+(1.96*AP63)</f>
        <v>-0.24124695677196828</v>
      </c>
      <c r="AT63" s="621">
        <f>EXP(AR63)</f>
        <v>0.57128047922156888</v>
      </c>
      <c r="AU63" s="621">
        <f>EXP(AS63)</f>
        <v>0.78564758143835778</v>
      </c>
      <c r="AV63" s="75"/>
      <c r="AW63" s="76"/>
      <c r="AX63" s="77">
        <f>AA63</f>
        <v>1.7247035611872423</v>
      </c>
      <c r="AY63" s="55">
        <f>SUM(AY60:AY62)</f>
        <v>3</v>
      </c>
      <c r="AZ63" s="78">
        <f>(AX63-(AY63-1))/AX63</f>
        <v>-0.15961956883955788</v>
      </c>
      <c r="BA63" s="79" t="str">
        <f>IF(AA63&lt;AB63-1,"0%",AZ63)</f>
        <v>0%</v>
      </c>
      <c r="BB63" s="76"/>
      <c r="BC63" s="62">
        <f>AX63/(AY63-1)</f>
        <v>0.86235178059362116</v>
      </c>
      <c r="BD63" s="80">
        <f>LN(BC63)</f>
        <v>-0.14809199343138846</v>
      </c>
      <c r="BE63" s="62">
        <f>LN(AX63)</f>
        <v>0.54505518712855683</v>
      </c>
      <c r="BF63" s="62">
        <f>LN(AY63-1)</f>
        <v>0.69314718055994529</v>
      </c>
      <c r="BG63" s="62">
        <f>SQRT(2*AX63)</f>
        <v>1.8572579579515831</v>
      </c>
      <c r="BH63" s="62">
        <f>SQRT(2*AY63-3)</f>
        <v>1.7320508075688772</v>
      </c>
      <c r="BI63" s="62">
        <f>2*(AY63-2)</f>
        <v>2</v>
      </c>
      <c r="BJ63" s="62">
        <f>3*(AY63-2)^2</f>
        <v>3</v>
      </c>
      <c r="BK63" s="62">
        <f>1/BI63</f>
        <v>0.5</v>
      </c>
      <c r="BL63" s="81">
        <f>1/BJ63</f>
        <v>0.33333333333333331</v>
      </c>
      <c r="BM63" s="81">
        <f>SQRT(BK63*(1-BL63))</f>
        <v>0.57735026918962584</v>
      </c>
      <c r="BN63" s="82">
        <f>0.5*(BE63-BF63)/(BG63-BH63)</f>
        <v>-0.59138792384753247</v>
      </c>
      <c r="BO63" s="82">
        <f>IF(AA63&lt;=AB63,BM63,BN63)</f>
        <v>0.57735026918962584</v>
      </c>
      <c r="BP63" s="69">
        <f>BD63-(1.96*BO63)</f>
        <v>-1.2796985210430551</v>
      </c>
      <c r="BQ63" s="69">
        <f>BD63+(1.96*BO63)</f>
        <v>0.98351453418027823</v>
      </c>
      <c r="BR63" s="69"/>
      <c r="BS63" s="80">
        <f>EXP(BP63)</f>
        <v>0.27812113548514056</v>
      </c>
      <c r="BT63" s="80">
        <f>EXP(BQ63)</f>
        <v>2.6738370393742361</v>
      </c>
      <c r="BU63" s="83" t="str">
        <f>BA63</f>
        <v>0%</v>
      </c>
      <c r="BV63" s="83">
        <f>(BS63-1)/BS63</f>
        <v>-2.5955555778083901</v>
      </c>
      <c r="BW63" s="83">
        <f>(BT63-1)/BT63</f>
        <v>0.62600562963476936</v>
      </c>
    </row>
    <row r="64" spans="1:256" ht="13.5" thickBot="1">
      <c r="E64" s="84"/>
      <c r="F64" s="84"/>
      <c r="G64" s="84"/>
      <c r="H64" s="84"/>
      <c r="I64" s="85"/>
      <c r="R64" s="86"/>
      <c r="S64" s="86"/>
      <c r="T64" s="86"/>
      <c r="U64" s="86"/>
      <c r="V64" s="86"/>
      <c r="W64" s="86"/>
      <c r="X64" s="86"/>
      <c r="Y64" s="591"/>
      <c r="Z64" s="591"/>
      <c r="AA64" s="591"/>
      <c r="AB64" s="584"/>
      <c r="AC64" s="622"/>
      <c r="AD64" s="623"/>
      <c r="AE64" s="622"/>
      <c r="AF64" s="624"/>
      <c r="AG64" s="624"/>
      <c r="AH64" s="624"/>
      <c r="AI64" s="624"/>
      <c r="AJ64" s="591"/>
      <c r="AK64" s="591"/>
      <c r="AL64" s="591"/>
      <c r="AM64" s="591"/>
      <c r="AN64" s="591"/>
      <c r="AO64" s="591"/>
      <c r="AP64" s="591"/>
      <c r="AQ64" s="591"/>
      <c r="AR64" s="591"/>
      <c r="AS64" s="591"/>
      <c r="AT64" s="625"/>
      <c r="AU64" s="625"/>
      <c r="AV64" s="91"/>
      <c r="AX64" s="5" t="s">
        <v>59</v>
      </c>
      <c r="BG64" s="10"/>
      <c r="BN64" s="88" t="s">
        <v>60</v>
      </c>
      <c r="BT64" s="92" t="s">
        <v>61</v>
      </c>
      <c r="BU64" s="495" t="str">
        <f>BU63</f>
        <v>0%</v>
      </c>
      <c r="BV64" s="495" t="str">
        <f>IF(BV63&lt;0,"0%",BV63)</f>
        <v>0%</v>
      </c>
      <c r="BW64" s="496">
        <f>IF(BW63&lt;0,"0%",BW63)</f>
        <v>0.62600562963476936</v>
      </c>
    </row>
    <row r="65" spans="1:86" ht="26.5" thickBot="1">
      <c r="B65" s="518"/>
      <c r="E65" s="93"/>
      <c r="F65" s="93"/>
      <c r="G65" s="93"/>
      <c r="H65" s="93"/>
      <c r="I65" s="94"/>
      <c r="J65" s="5"/>
      <c r="K65" s="5"/>
      <c r="R65" s="95"/>
      <c r="S65" s="95"/>
      <c r="T65" s="95"/>
      <c r="U65" s="95"/>
      <c r="V65" s="95"/>
      <c r="W65" s="95"/>
      <c r="X65" s="95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626"/>
      <c r="AJ65" s="627"/>
      <c r="AK65" s="627"/>
      <c r="AL65" s="628"/>
      <c r="AM65" s="629"/>
      <c r="AN65" s="591"/>
      <c r="AO65" s="630" t="s">
        <v>394</v>
      </c>
      <c r="AP65" s="631">
        <f>TINV((1-$H$1),(AB63-2))</f>
        <v>12.706204736174694</v>
      </c>
      <c r="AQ65" s="591"/>
      <c r="AR65" s="632" t="s">
        <v>63</v>
      </c>
      <c r="AS65" s="633">
        <f>$H$1</f>
        <v>0.95</v>
      </c>
      <c r="AT65" s="621">
        <f>EXP(AM63-AP65*SQRT((1/AD63)+AH63))</f>
        <v>0.23850475338832769</v>
      </c>
      <c r="AU65" s="621">
        <f>EXP(AM63+AP65*SQRT((1/AD63)+AH63))</f>
        <v>1.8818233453706132</v>
      </c>
      <c r="AV65" s="16"/>
      <c r="AX65" s="102">
        <f>_xlfn.CHISQ.DIST.RT(AX63,AY63-1)</f>
        <v>0.42216806725541178</v>
      </c>
      <c r="AY65" s="103" t="str">
        <f>IF(AX65&lt;0.05,"heterogeneidad","homogeneidad")</f>
        <v>homogeneidad</v>
      </c>
      <c r="BF65" s="104"/>
      <c r="BG65" s="10"/>
      <c r="BH65" s="10"/>
      <c r="BJ65" s="43"/>
      <c r="BL65" s="10"/>
      <c r="BM65" s="105"/>
      <c r="BQ65" s="10"/>
    </row>
    <row r="66" spans="1:86" ht="14.5">
      <c r="E66" s="93"/>
      <c r="F66" s="93"/>
      <c r="G66" s="93"/>
      <c r="H66" s="93"/>
      <c r="I66" s="94"/>
      <c r="J66" s="5"/>
      <c r="K66" s="5"/>
      <c r="R66" s="95"/>
      <c r="S66" s="95"/>
      <c r="T66" s="95"/>
      <c r="U66" s="95"/>
      <c r="V66" s="95"/>
      <c r="W66" s="95"/>
      <c r="X66" s="95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626"/>
      <c r="AJ66" s="627"/>
      <c r="AK66" s="627"/>
      <c r="AL66" s="628"/>
      <c r="AM66" s="629"/>
      <c r="AN66" s="635"/>
      <c r="AO66" s="636"/>
      <c r="AP66" s="637"/>
      <c r="AQ66" s="591"/>
      <c r="AR66" s="591"/>
      <c r="AS66" s="638"/>
      <c r="AT66" s="639"/>
      <c r="AU66" s="639"/>
      <c r="AV66" s="16"/>
      <c r="BF66" s="104"/>
      <c r="BG66" s="10"/>
      <c r="BH66" s="10"/>
      <c r="BJ66" s="43"/>
      <c r="BL66" s="10"/>
      <c r="BM66" s="109"/>
      <c r="BQ66" s="10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</row>
    <row r="67" spans="1:86" ht="13" customHeight="1">
      <c r="C67" s="84"/>
      <c r="D67" s="84"/>
      <c r="E67" s="84"/>
      <c r="F67" s="84"/>
      <c r="G67" s="84"/>
      <c r="H67" s="84"/>
      <c r="I67" s="85"/>
      <c r="J67" s="668" t="s">
        <v>4</v>
      </c>
      <c r="K67" s="669"/>
      <c r="L67" s="669"/>
      <c r="M67" s="669"/>
      <c r="N67" s="669"/>
      <c r="O67" s="669"/>
      <c r="P67" s="669"/>
      <c r="Q67" s="669"/>
      <c r="R67" s="669"/>
      <c r="S67" s="669"/>
      <c r="T67" s="669"/>
      <c r="U67" s="669"/>
      <c r="V67" s="669"/>
      <c r="W67" s="670"/>
      <c r="X67" s="11"/>
      <c r="Y67" s="671" t="s">
        <v>5</v>
      </c>
      <c r="Z67" s="672"/>
      <c r="AA67" s="672"/>
      <c r="AB67" s="672"/>
      <c r="AC67" s="672"/>
      <c r="AD67" s="672"/>
      <c r="AE67" s="672"/>
      <c r="AF67" s="672"/>
      <c r="AG67" s="672"/>
      <c r="AH67" s="672"/>
      <c r="AI67" s="672"/>
      <c r="AJ67" s="672"/>
      <c r="AK67" s="672"/>
      <c r="AL67" s="672"/>
      <c r="AM67" s="672"/>
      <c r="AN67" s="672"/>
      <c r="AO67" s="672"/>
      <c r="AP67" s="672"/>
      <c r="AQ67" s="672"/>
      <c r="AR67" s="672"/>
      <c r="AS67" s="672"/>
      <c r="AT67" s="672"/>
      <c r="AU67" s="673"/>
      <c r="AV67" s="11"/>
      <c r="AW67" s="668" t="s">
        <v>232</v>
      </c>
      <c r="AX67" s="669"/>
      <c r="AY67" s="669"/>
      <c r="AZ67" s="669"/>
      <c r="BA67" s="669"/>
      <c r="BB67" s="669"/>
      <c r="BC67" s="669"/>
      <c r="BD67" s="669"/>
      <c r="BE67" s="669"/>
      <c r="BF67" s="669"/>
      <c r="BG67" s="669"/>
      <c r="BH67" s="669"/>
      <c r="BI67" s="669"/>
      <c r="BJ67" s="669"/>
      <c r="BK67" s="669"/>
      <c r="BL67" s="669"/>
      <c r="BM67" s="669"/>
      <c r="BN67" s="669"/>
      <c r="BO67" s="669"/>
      <c r="BP67" s="669"/>
      <c r="BQ67" s="669"/>
      <c r="BR67" s="669"/>
      <c r="BS67" s="669"/>
      <c r="BT67" s="669"/>
      <c r="BU67" s="669"/>
      <c r="BV67" s="669"/>
      <c r="BW67" s="670"/>
    </row>
    <row r="68" spans="1:86">
      <c r="A68" s="643" t="s">
        <v>401</v>
      </c>
      <c r="B68" s="12" t="s">
        <v>6</v>
      </c>
      <c r="C68" s="677" t="s">
        <v>7</v>
      </c>
      <c r="D68" s="677"/>
      <c r="E68" s="677"/>
      <c r="F68" s="677" t="s">
        <v>8</v>
      </c>
      <c r="G68" s="677"/>
      <c r="H68" s="677"/>
      <c r="I68" s="13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640"/>
      <c r="Z68" s="640"/>
      <c r="AA68" s="640"/>
      <c r="AB68" s="640"/>
      <c r="AC68" s="640"/>
      <c r="AD68" s="640"/>
      <c r="AE68" s="640"/>
      <c r="AF68" s="640"/>
      <c r="AG68" s="640"/>
      <c r="AH68" s="640"/>
      <c r="AI68" s="640"/>
      <c r="AJ68" s="640"/>
      <c r="AK68" s="640"/>
      <c r="AL68" s="640"/>
      <c r="AM68" s="640"/>
      <c r="AN68" s="640"/>
      <c r="AO68" s="640"/>
      <c r="AP68" s="640"/>
      <c r="AQ68" s="640"/>
      <c r="AR68" s="640"/>
      <c r="AS68" s="640"/>
      <c r="AT68" s="640"/>
      <c r="AU68" s="640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</row>
    <row r="69" spans="1:86" ht="60">
      <c r="B69" s="503" t="s">
        <v>235</v>
      </c>
      <c r="C69" s="15" t="s">
        <v>9</v>
      </c>
      <c r="D69" s="15" t="s">
        <v>10</v>
      </c>
      <c r="E69" s="15" t="s">
        <v>11</v>
      </c>
      <c r="F69" s="15" t="s">
        <v>9</v>
      </c>
      <c r="G69" s="15" t="s">
        <v>10</v>
      </c>
      <c r="H69" s="15" t="s">
        <v>11</v>
      </c>
      <c r="I69" s="16"/>
      <c r="K69" s="17" t="s">
        <v>12</v>
      </c>
      <c r="L69" s="17" t="s">
        <v>13</v>
      </c>
      <c r="M69" s="17" t="s">
        <v>14</v>
      </c>
      <c r="N69" s="18" t="s">
        <v>15</v>
      </c>
      <c r="O69" s="18" t="s">
        <v>16</v>
      </c>
      <c r="P69" s="18" t="s">
        <v>17</v>
      </c>
      <c r="Q69" s="486" t="s">
        <v>18</v>
      </c>
      <c r="R69" s="486" t="s">
        <v>19</v>
      </c>
      <c r="S69" s="487" t="s">
        <v>3</v>
      </c>
      <c r="T69" s="486" t="s">
        <v>20</v>
      </c>
      <c r="U69" s="486" t="s">
        <v>21</v>
      </c>
      <c r="V69" s="486" t="s">
        <v>22</v>
      </c>
      <c r="W69" s="486" t="s">
        <v>22</v>
      </c>
      <c r="X69" s="19"/>
      <c r="Y69" s="584"/>
      <c r="Z69" s="585" t="s">
        <v>376</v>
      </c>
      <c r="AA69" s="586" t="s">
        <v>377</v>
      </c>
      <c r="AB69" s="587" t="s">
        <v>25</v>
      </c>
      <c r="AC69" s="587" t="s">
        <v>26</v>
      </c>
      <c r="AD69" s="587" t="s">
        <v>378</v>
      </c>
      <c r="AE69" s="586" t="s">
        <v>379</v>
      </c>
      <c r="AF69" s="586" t="s">
        <v>380</v>
      </c>
      <c r="AG69" s="588" t="s">
        <v>381</v>
      </c>
      <c r="AH69" s="588" t="s">
        <v>382</v>
      </c>
      <c r="AI69" s="587" t="s">
        <v>383</v>
      </c>
      <c r="AJ69" s="586" t="s">
        <v>384</v>
      </c>
      <c r="AK69" s="586" t="s">
        <v>385</v>
      </c>
      <c r="AL69" s="586" t="s">
        <v>386</v>
      </c>
      <c r="AM69" s="587" t="s">
        <v>387</v>
      </c>
      <c r="AN69" s="589" t="s">
        <v>388</v>
      </c>
      <c r="AO69" s="586" t="s">
        <v>389</v>
      </c>
      <c r="AP69" s="586" t="s">
        <v>390</v>
      </c>
      <c r="AQ69" s="587" t="s">
        <v>391</v>
      </c>
      <c r="AR69" s="586" t="s">
        <v>392</v>
      </c>
      <c r="AS69" s="586" t="s">
        <v>393</v>
      </c>
      <c r="AT69" s="590" t="s">
        <v>22</v>
      </c>
      <c r="AU69" s="590" t="s">
        <v>22</v>
      </c>
      <c r="AV69" s="19"/>
      <c r="AX69" s="23" t="s">
        <v>42</v>
      </c>
      <c r="AY69" s="23" t="s">
        <v>25</v>
      </c>
      <c r="AZ69" s="24" t="s">
        <v>64</v>
      </c>
      <c r="BA69" s="25" t="s">
        <v>65</v>
      </c>
      <c r="BC69" s="3" t="s">
        <v>66</v>
      </c>
      <c r="BD69" s="3" t="s">
        <v>67</v>
      </c>
      <c r="BE69" s="3" t="s">
        <v>43</v>
      </c>
      <c r="BF69" s="3" t="s">
        <v>44</v>
      </c>
      <c r="BG69" s="3" t="s">
        <v>45</v>
      </c>
      <c r="BH69" s="3" t="s">
        <v>46</v>
      </c>
      <c r="BI69" s="3" t="s">
        <v>47</v>
      </c>
      <c r="BJ69" s="3" t="s">
        <v>68</v>
      </c>
      <c r="BK69" s="3" t="s">
        <v>48</v>
      </c>
      <c r="BL69" s="3" t="s">
        <v>49</v>
      </c>
      <c r="BM69" s="26" t="s">
        <v>69</v>
      </c>
      <c r="BN69" s="26" t="s">
        <v>70</v>
      </c>
      <c r="BO69" s="26" t="s">
        <v>71</v>
      </c>
      <c r="BP69" s="26" t="s">
        <v>72</v>
      </c>
      <c r="BQ69" s="26" t="s">
        <v>73</v>
      </c>
      <c r="BR69" s="27"/>
      <c r="BS69" s="18" t="s">
        <v>74</v>
      </c>
      <c r="BT69" s="18" t="s">
        <v>75</v>
      </c>
      <c r="BU69" s="486" t="s">
        <v>229</v>
      </c>
      <c r="BV69" s="486" t="s">
        <v>230</v>
      </c>
      <c r="BW69" s="486" t="s">
        <v>231</v>
      </c>
    </row>
    <row r="70" spans="1:86">
      <c r="B70" s="583" t="s">
        <v>434</v>
      </c>
      <c r="C70" s="29">
        <v>89</v>
      </c>
      <c r="D70" s="30">
        <f>E70-C70</f>
        <v>2113</v>
      </c>
      <c r="E70" s="31">
        <v>2202</v>
      </c>
      <c r="F70" s="29">
        <v>141</v>
      </c>
      <c r="G70" s="30">
        <f>H70-F70</f>
        <v>2058</v>
      </c>
      <c r="H70" s="31">
        <v>2199</v>
      </c>
      <c r="I70" s="32"/>
      <c r="K70" s="33">
        <f>(C70/E70)/(F70/H70)</f>
        <v>0.63034572052486137</v>
      </c>
      <c r="L70" s="34">
        <f>(D70/(C70*E70)+(G70/(F70*H70)))</f>
        <v>1.7419268870946136E-2</v>
      </c>
      <c r="M70" s="35">
        <f>1/L70</f>
        <v>57.407690725063397</v>
      </c>
      <c r="N70" s="36">
        <f>LN(K70)</f>
        <v>-0.46148684737389251</v>
      </c>
      <c r="O70" s="36">
        <f>M70*N70</f>
        <v>-26.492894207724955</v>
      </c>
      <c r="P70" s="36">
        <f>LN(K70)</f>
        <v>-0.46148684737389251</v>
      </c>
      <c r="Q70" s="37">
        <f>K70</f>
        <v>0.63034572052486137</v>
      </c>
      <c r="R70" s="38">
        <f>SQRT(1/M70)</f>
        <v>0.13198207783993302</v>
      </c>
      <c r="S70" s="39">
        <f>$H$2</f>
        <v>1.9599639845400536</v>
      </c>
      <c r="T70" s="40">
        <f>P70-(R70*S70)</f>
        <v>-0.72016696654492307</v>
      </c>
      <c r="U70" s="40">
        <f>P70+(R70*S70)</f>
        <v>-0.20280672820286189</v>
      </c>
      <c r="V70" s="41">
        <f>EXP(T70)</f>
        <v>0.48667099140198056</v>
      </c>
      <c r="W70" s="42">
        <f>EXP(U70)</f>
        <v>0.81643602023490092</v>
      </c>
      <c r="X70" s="43"/>
      <c r="Y70" s="591"/>
      <c r="Z70" s="592">
        <f>(N70-P328)^2</f>
        <v>0.21297011029909435</v>
      </c>
      <c r="AA70" s="593">
        <f>M70*Z70</f>
        <v>12.226122225733047</v>
      </c>
      <c r="AB70" s="594">
        <v>1</v>
      </c>
      <c r="AC70" s="595"/>
      <c r="AD70" s="595"/>
      <c r="AE70" s="596">
        <f>M70^2</f>
        <v>3295.6429543845297</v>
      </c>
      <c r="AF70" s="597"/>
      <c r="AG70" s="598">
        <f>AG72</f>
        <v>0.13495281661687419</v>
      </c>
      <c r="AH70" s="598">
        <f>AH72</f>
        <v>0.13495281661687419</v>
      </c>
      <c r="AI70" s="593">
        <f>1/M70</f>
        <v>1.7419268870946136E-2</v>
      </c>
      <c r="AJ70" s="599">
        <f>1/(AH70+AI70)</f>
        <v>6.5628818874434431</v>
      </c>
      <c r="AK70" s="600">
        <f>AJ70/AJ72</f>
        <v>0.48138606238578113</v>
      </c>
      <c r="AL70" s="601">
        <f>AJ70*N70</f>
        <v>-3.028683671923496</v>
      </c>
      <c r="AM70" s="601">
        <f>AL70/AJ70</f>
        <v>-0.46148684737389251</v>
      </c>
      <c r="AN70" s="602">
        <f>EXP(AM70)</f>
        <v>0.63034572052486137</v>
      </c>
      <c r="AO70" s="603">
        <f>1/AJ70</f>
        <v>0.15237208548782033</v>
      </c>
      <c r="AP70" s="604">
        <f>SQRT(AO70)</f>
        <v>0.39034867168701926</v>
      </c>
      <c r="AQ70" s="605">
        <f>$H$2</f>
        <v>1.9599639845400536</v>
      </c>
      <c r="AR70" s="606">
        <f>AM70-(AQ70*AP70)</f>
        <v>-1.2265561852935001</v>
      </c>
      <c r="AS70" s="606">
        <f>AM70+(1.96*AP70)</f>
        <v>0.30359654913266526</v>
      </c>
      <c r="AT70" s="607">
        <f>EXP(AR70)</f>
        <v>0.2933009144243699</v>
      </c>
      <c r="AU70" s="607">
        <f>EXP(AS70)</f>
        <v>1.3547223818990239</v>
      </c>
      <c r="AV70" s="16"/>
      <c r="AX70" s="53"/>
      <c r="AY70" s="53">
        <v>1</v>
      </c>
      <c r="AZ70" s="54"/>
      <c r="BA70" s="54"/>
      <c r="BC70" s="27"/>
      <c r="BD70" s="27"/>
      <c r="BE70" s="2"/>
      <c r="BF70" s="2"/>
      <c r="BG70" s="2"/>
      <c r="BH70" s="2"/>
      <c r="BI70" s="2"/>
      <c r="BJ70" s="2"/>
      <c r="BK70" s="2"/>
      <c r="BL70" s="2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</row>
    <row r="71" spans="1:86">
      <c r="B71" s="583" t="s">
        <v>436</v>
      </c>
      <c r="C71" s="29">
        <v>245</v>
      </c>
      <c r="D71" s="30">
        <f>E71-C71</f>
        <v>5047</v>
      </c>
      <c r="E71" s="31">
        <v>5292</v>
      </c>
      <c r="F71" s="29">
        <v>360</v>
      </c>
      <c r="G71" s="30">
        <f>H71-F71</f>
        <v>4932</v>
      </c>
      <c r="H71" s="31">
        <v>5292</v>
      </c>
      <c r="I71" s="32"/>
      <c r="K71" s="33">
        <f t="shared" ref="K71" si="166">(C71/E71)/(F71/H71)</f>
        <v>0.68055555555555547</v>
      </c>
      <c r="L71" s="34">
        <f t="shared" ref="L71" si="167">(D71/(C71*E71)+(G71/(F71*H71)))</f>
        <v>6.4814814814814813E-3</v>
      </c>
      <c r="M71" s="35">
        <f t="shared" ref="M71" si="168">1/L71</f>
        <v>154.28571428571428</v>
      </c>
      <c r="N71" s="36">
        <f t="shared" ref="N71" si="169">LN(K71)</f>
        <v>-0.38484582090542885</v>
      </c>
      <c r="O71" s="36">
        <f t="shared" ref="O71" si="170">M71*N71</f>
        <v>-59.37621236826616</v>
      </c>
      <c r="P71" s="36">
        <f t="shared" ref="P71" si="171">LN(K71)</f>
        <v>-0.38484582090542885</v>
      </c>
      <c r="Q71" s="37">
        <f t="shared" ref="Q71" si="172">K71</f>
        <v>0.68055555555555547</v>
      </c>
      <c r="R71" s="38">
        <f t="shared" ref="R71" si="173">SQRT(1/M71)</f>
        <v>8.0507648589941333E-2</v>
      </c>
      <c r="S71" s="39">
        <f t="shared" ref="S71:S72" si="174">$H$2</f>
        <v>1.9599639845400536</v>
      </c>
      <c r="T71" s="40">
        <f t="shared" ref="T71" si="175">P71-(R71*S71)</f>
        <v>-0.54263791262172067</v>
      </c>
      <c r="U71" s="40">
        <f t="shared" ref="U71" si="176">P71+(R71*S71)</f>
        <v>-0.22705372918913699</v>
      </c>
      <c r="V71" s="41">
        <f t="shared" ref="V71:W71" si="177">EXP(T71)</f>
        <v>0.5812130391731487</v>
      </c>
      <c r="W71" s="42">
        <f t="shared" si="177"/>
        <v>0.79687796553296586</v>
      </c>
      <c r="X71" s="43"/>
      <c r="Y71" s="591"/>
      <c r="Z71" s="592">
        <f>(N71-P72)^2</f>
        <v>4.31964566051937E-4</v>
      </c>
      <c r="AA71" s="593">
        <f t="shared" ref="AA71" si="178">M71*Z71</f>
        <v>6.664596161944171E-2</v>
      </c>
      <c r="AB71" s="594">
        <v>1</v>
      </c>
      <c r="AC71" s="595"/>
      <c r="AD71" s="595"/>
      <c r="AE71" s="596">
        <f t="shared" ref="AE71" si="179">M71^2</f>
        <v>23804.081632653058</v>
      </c>
      <c r="AF71" s="597"/>
      <c r="AG71" s="598">
        <f>AG72</f>
        <v>0.13495281661687419</v>
      </c>
      <c r="AH71" s="598">
        <f>AH72</f>
        <v>0.13495281661687419</v>
      </c>
      <c r="AI71" s="593">
        <f t="shared" ref="AI71" si="180">1/M71</f>
        <v>6.4814814814814822E-3</v>
      </c>
      <c r="AJ71" s="599">
        <f t="shared" ref="AJ71" si="181">1/(AH71+AI71)</f>
        <v>7.0704207780250306</v>
      </c>
      <c r="AK71" s="600">
        <f>AJ71/AJ72</f>
        <v>0.51861393761421881</v>
      </c>
      <c r="AL71" s="601">
        <f t="shared" ref="AL71" si="182">AJ71*N71</f>
        <v>-2.7210218884658439</v>
      </c>
      <c r="AM71" s="601">
        <f t="shared" ref="AM71" si="183">AL71/AJ71</f>
        <v>-0.38484582090542885</v>
      </c>
      <c r="AN71" s="602">
        <f t="shared" ref="AN71" si="184">EXP(AM71)</f>
        <v>0.68055555555555547</v>
      </c>
      <c r="AO71" s="603">
        <f t="shared" ref="AO71" si="185">1/AJ71</f>
        <v>0.14143429809835567</v>
      </c>
      <c r="AP71" s="604">
        <f t="shared" ref="AP71" si="186">SQRT(AO71)</f>
        <v>0.37607751607661377</v>
      </c>
      <c r="AQ71" s="605">
        <f t="shared" ref="AQ71:AQ72" si="187">$H$2</f>
        <v>1.9599639845400536</v>
      </c>
      <c r="AR71" s="606">
        <f t="shared" ref="AR71" si="188">AM71-(AQ71*AP71)</f>
        <v>-1.1219442078108748</v>
      </c>
      <c r="AS71" s="606">
        <f t="shared" ref="AS71" si="189">AM71+(1.96*AP71)</f>
        <v>0.35226611060473412</v>
      </c>
      <c r="AT71" s="607">
        <f t="shared" ref="AT71:AU71" si="190">EXP(AR71)</f>
        <v>0.32564605515803668</v>
      </c>
      <c r="AU71" s="607">
        <f t="shared" si="190"/>
        <v>1.4222869590062892</v>
      </c>
      <c r="AV71" s="16"/>
      <c r="AX71" s="53"/>
      <c r="AY71" s="53">
        <v>1</v>
      </c>
      <c r="AZ71" s="54"/>
      <c r="BA71" s="54"/>
      <c r="BC71" s="27"/>
      <c r="BD71" s="27"/>
      <c r="BE71" s="2"/>
      <c r="BF71" s="2"/>
      <c r="BG71" s="2"/>
      <c r="BH71" s="2"/>
      <c r="BI71" s="2"/>
      <c r="BJ71" s="2"/>
      <c r="BK71" s="2"/>
      <c r="BL71" s="2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</row>
    <row r="72" spans="1:86">
      <c r="B72" s="55">
        <f>COUNT(D70:D71)</f>
        <v>2</v>
      </c>
      <c r="C72" s="56">
        <f t="shared" ref="C72:H72" si="191">SUM(C70:C71)</f>
        <v>334</v>
      </c>
      <c r="D72" s="56">
        <f t="shared" si="191"/>
        <v>7160</v>
      </c>
      <c r="E72" s="56">
        <f t="shared" si="191"/>
        <v>7494</v>
      </c>
      <c r="F72" s="56">
        <f t="shared" si="191"/>
        <v>501</v>
      </c>
      <c r="G72" s="56">
        <f t="shared" si="191"/>
        <v>6990</v>
      </c>
      <c r="H72" s="56">
        <f t="shared" si="191"/>
        <v>7491</v>
      </c>
      <c r="I72" s="57"/>
      <c r="K72" s="58"/>
      <c r="L72" s="112"/>
      <c r="M72" s="60">
        <f>SUM(M70:M71)</f>
        <v>211.69340501077767</v>
      </c>
      <c r="N72" s="61"/>
      <c r="O72" s="62">
        <f>SUM(O70:O71)</f>
        <v>-85.869106575991111</v>
      </c>
      <c r="P72" s="63">
        <f>O72/M72</f>
        <v>-0.40562957817046486</v>
      </c>
      <c r="Q72" s="488">
        <f>EXP(P72)</f>
        <v>0.66655702897477254</v>
      </c>
      <c r="R72" s="488">
        <f>SQRT(1/M72)</f>
        <v>6.8729998713551899E-2</v>
      </c>
      <c r="S72" s="489">
        <f t="shared" si="174"/>
        <v>1.9599639845400536</v>
      </c>
      <c r="T72" s="490">
        <f>P72-(R72*S72)</f>
        <v>-0.54033790030651074</v>
      </c>
      <c r="U72" s="490">
        <f>P72+(R72*S72)</f>
        <v>-0.27092125603441891</v>
      </c>
      <c r="V72" s="491">
        <f>EXP(T72)</f>
        <v>0.58255137482525921</v>
      </c>
      <c r="W72" s="492">
        <f>EXP(U72)</f>
        <v>0.76267655021661651</v>
      </c>
      <c r="X72" s="65"/>
      <c r="Y72" s="608"/>
      <c r="Z72" s="609"/>
      <c r="AA72" s="610">
        <f>SUM(AA70:AA71)</f>
        <v>12.292768187352488</v>
      </c>
      <c r="AB72" s="611">
        <f>SUM(AB70:AB71)</f>
        <v>2</v>
      </c>
      <c r="AC72" s="612">
        <f>AA72-(AB72-1)</f>
        <v>11.292768187352488</v>
      </c>
      <c r="AD72" s="613">
        <f>M72</f>
        <v>211.69340501077767</v>
      </c>
      <c r="AE72" s="613">
        <f>SUM(AE70:AE71)</f>
        <v>27099.724587037588</v>
      </c>
      <c r="AF72" s="614">
        <f>AE72/AD72</f>
        <v>128.01402379851132</v>
      </c>
      <c r="AG72" s="615">
        <f>AC72/(AD72-AF72)</f>
        <v>0.13495281661687419</v>
      </c>
      <c r="AH72" s="615">
        <f>IF(AA72&lt;AB72-1,"0",AG72)</f>
        <v>0.13495281661687419</v>
      </c>
      <c r="AI72" s="609"/>
      <c r="AJ72" s="613">
        <f>SUM(AJ70:AJ71)</f>
        <v>13.633302665468474</v>
      </c>
      <c r="AK72" s="616">
        <f>SUM(AK70:AK71)</f>
        <v>1</v>
      </c>
      <c r="AL72" s="612">
        <f>SUM(AL70:AL71)</f>
        <v>-5.7497055603893399</v>
      </c>
      <c r="AM72" s="612">
        <f>AL72/AJ72</f>
        <v>-0.421739742854287</v>
      </c>
      <c r="AN72" s="617">
        <f>EXP(AM72)</f>
        <v>0.65590472107248099</v>
      </c>
      <c r="AO72" s="618">
        <f>1/AJ72</f>
        <v>7.3349798250491455E-2</v>
      </c>
      <c r="AP72" s="619">
        <f>SQRT(AO72)</f>
        <v>0.27083167881636644</v>
      </c>
      <c r="AQ72" s="605">
        <f t="shared" si="187"/>
        <v>1.9599639845400536</v>
      </c>
      <c r="AR72" s="620">
        <f>AM72-(AQ72*AP72)</f>
        <v>-0.95256007920688468</v>
      </c>
      <c r="AS72" s="620">
        <f>AM72+(1.96*AP72)</f>
        <v>0.10909034762579123</v>
      </c>
      <c r="AT72" s="621">
        <f>EXP(AR72)</f>
        <v>0.38575220207249739</v>
      </c>
      <c r="AU72" s="621">
        <f>EXP(AS72)</f>
        <v>1.1152631071636743</v>
      </c>
      <c r="AV72" s="75"/>
      <c r="AW72" s="76"/>
      <c r="AX72" s="77">
        <f>AA72</f>
        <v>12.292768187352488</v>
      </c>
      <c r="AY72" s="55">
        <f>SUM(AY70:AY71)</f>
        <v>2</v>
      </c>
      <c r="AZ72" s="78">
        <f>(AX72-(AY72-1))/AX72</f>
        <v>0.91865135787487984</v>
      </c>
      <c r="BA72" s="79">
        <f>IF(AA72&lt;AB72-1,"0%",AZ72)</f>
        <v>0.91865135787487984</v>
      </c>
      <c r="BB72" s="76"/>
      <c r="BC72" s="62">
        <f>AX72/(AY72-1)</f>
        <v>12.292768187352488</v>
      </c>
      <c r="BD72" s="80">
        <f>LN(BC72)</f>
        <v>2.5090111372189048</v>
      </c>
      <c r="BE72" s="62">
        <f>LN(AX72)</f>
        <v>2.5090111372189048</v>
      </c>
      <c r="BF72" s="62">
        <f>LN(AY72-1)</f>
        <v>0</v>
      </c>
      <c r="BG72" s="62">
        <f>SQRT(2*AX72)</f>
        <v>4.9583804185141922</v>
      </c>
      <c r="BH72" s="62">
        <f>SQRT(2*AY72-3)</f>
        <v>1</v>
      </c>
      <c r="BI72" s="62">
        <f>2*(AY72-2)</f>
        <v>0</v>
      </c>
      <c r="BJ72" s="62">
        <f>3*(AY72-2)^2</f>
        <v>0</v>
      </c>
      <c r="BK72" s="62" t="e">
        <f>1/BI72</f>
        <v>#DIV/0!</v>
      </c>
      <c r="BL72" s="81" t="e">
        <f>1/BJ72</f>
        <v>#DIV/0!</v>
      </c>
      <c r="BM72" s="81" t="e">
        <f>SQRT(BK72*(1-BL72))</f>
        <v>#DIV/0!</v>
      </c>
      <c r="BN72" s="82">
        <f>0.5*(BE72-BF72)/(BG72-BH72)</f>
        <v>0.3169239527211335</v>
      </c>
      <c r="BO72" s="82">
        <f>IF(AA72&lt;=AB72,BM72,BN72)</f>
        <v>0.3169239527211335</v>
      </c>
      <c r="BP72" s="69">
        <f>BD72-(1.96*BO72)</f>
        <v>1.8878401898854831</v>
      </c>
      <c r="BQ72" s="69">
        <f>BD72+(1.96*BO72)</f>
        <v>3.1301820845523265</v>
      </c>
      <c r="BR72" s="69"/>
      <c r="BS72" s="80">
        <f>EXP(BP72)</f>
        <v>6.6050875294534039</v>
      </c>
      <c r="BT72" s="80">
        <f>EXP(BQ72)</f>
        <v>22.878144919979665</v>
      </c>
      <c r="BU72" s="83">
        <f>BA72</f>
        <v>0.91865135787487984</v>
      </c>
      <c r="BV72" s="83">
        <f>(BS72-1)/BS72</f>
        <v>0.84860155213071742</v>
      </c>
      <c r="BW72" s="83">
        <f>(BT72-1)/BT72</f>
        <v>0.95629016235810749</v>
      </c>
    </row>
    <row r="73" spans="1:86" ht="13.5" thickBot="1">
      <c r="C73" s="84"/>
      <c r="D73" s="84"/>
      <c r="E73" s="84"/>
      <c r="F73" s="84"/>
      <c r="G73" s="84"/>
      <c r="H73" s="84"/>
      <c r="I73" s="85"/>
      <c r="R73" s="86"/>
      <c r="S73" s="86"/>
      <c r="T73" s="86"/>
      <c r="U73" s="86"/>
      <c r="V73" s="86"/>
      <c r="W73" s="86"/>
      <c r="X73" s="86"/>
      <c r="Y73" s="591"/>
      <c r="Z73" s="591"/>
      <c r="AA73" s="591"/>
      <c r="AB73" s="584"/>
      <c r="AC73" s="622"/>
      <c r="AD73" s="623"/>
      <c r="AE73" s="622"/>
      <c r="AF73" s="624"/>
      <c r="AG73" s="624"/>
      <c r="AH73" s="624"/>
      <c r="AI73" s="624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625"/>
      <c r="AU73" s="625"/>
      <c r="AV73" s="91"/>
      <c r="AX73" s="5" t="s">
        <v>59</v>
      </c>
      <c r="BG73" s="10"/>
      <c r="BN73" s="88" t="s">
        <v>60</v>
      </c>
      <c r="BT73" s="92" t="s">
        <v>61</v>
      </c>
      <c r="BU73" s="495">
        <f>BU72</f>
        <v>0.91865135787487984</v>
      </c>
      <c r="BV73" s="495">
        <f>IF(BV72&lt;0,"0%",BV72)</f>
        <v>0.84860155213071742</v>
      </c>
      <c r="BW73" s="496">
        <f>IF(BW72&lt;0,"0%",BW72)</f>
        <v>0.95629016235810749</v>
      </c>
    </row>
    <row r="74" spans="1:86" ht="26.5" thickBot="1">
      <c r="B74" s="5"/>
      <c r="C74" s="93"/>
      <c r="D74" s="93"/>
      <c r="E74" s="93"/>
      <c r="F74" s="654">
        <f>F72/H72</f>
        <v>6.688025630756908E-2</v>
      </c>
      <c r="G74" s="93"/>
      <c r="H74" s="93"/>
      <c r="I74" s="94"/>
      <c r="J74" s="5"/>
      <c r="K74" s="5"/>
      <c r="R74" s="95"/>
      <c r="S74" s="95"/>
      <c r="T74" s="95"/>
      <c r="U74" s="95"/>
      <c r="V74" s="95"/>
      <c r="W74" s="95"/>
      <c r="X74" s="95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626"/>
      <c r="AJ74" s="627"/>
      <c r="AK74" s="627"/>
      <c r="AL74" s="628"/>
      <c r="AM74" s="629"/>
      <c r="AN74" s="591"/>
      <c r="AO74" s="630" t="s">
        <v>394</v>
      </c>
      <c r="AP74" s="631" t="e">
        <f>TINV((1-$H$1),(AB72-2))</f>
        <v>#NUM!</v>
      </c>
      <c r="AQ74" s="591"/>
      <c r="AR74" s="632" t="s">
        <v>63</v>
      </c>
      <c r="AS74" s="633">
        <f>$H$1</f>
        <v>0.95</v>
      </c>
      <c r="AT74" s="634" t="e">
        <f>EXP(AM72-AP74*SQRT((1/AD72)+AH72))</f>
        <v>#NUM!</v>
      </c>
      <c r="AU74" s="634" t="e">
        <f>EXP(AM72+AP74*SQRT((1/AD72)+AH72))</f>
        <v>#NUM!</v>
      </c>
      <c r="AV74" s="16"/>
      <c r="AX74" s="102">
        <f>_xlfn.CHISQ.DIST.RT(AX72,AY72-1)</f>
        <v>4.5471679614876538E-4</v>
      </c>
      <c r="AY74" s="103" t="str">
        <f>IF(AX74&lt;0.05,"heterogeneidad","homogeneidad")</f>
        <v>heterogeneidad</v>
      </c>
      <c r="BF74" s="104"/>
      <c r="BG74" s="10"/>
      <c r="BH74" s="10"/>
      <c r="BJ74" s="43"/>
      <c r="BL74" s="10"/>
      <c r="BM74" s="105"/>
      <c r="BQ74" s="10"/>
    </row>
    <row r="75" spans="1:86" ht="14.5">
      <c r="B75" s="5"/>
      <c r="C75" s="93"/>
      <c r="D75" s="93"/>
      <c r="E75" s="93"/>
      <c r="F75" s="93"/>
      <c r="G75" s="93"/>
      <c r="H75" s="93"/>
      <c r="I75" s="94"/>
      <c r="J75" s="5"/>
      <c r="K75" s="5"/>
      <c r="R75" s="95"/>
      <c r="S75" s="95"/>
      <c r="T75" s="95"/>
      <c r="U75" s="95"/>
      <c r="V75" s="95"/>
      <c r="W75" s="95"/>
      <c r="X75" s="95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626"/>
      <c r="AJ75" s="627"/>
      <c r="AK75" s="627"/>
      <c r="AL75" s="628"/>
      <c r="AM75" s="629"/>
      <c r="AN75" s="635"/>
      <c r="AO75" s="636"/>
      <c r="AP75" s="637"/>
      <c r="AQ75" s="591"/>
      <c r="AR75" s="591"/>
      <c r="AS75" s="638"/>
      <c r="AT75" s="639"/>
      <c r="AU75" s="639"/>
      <c r="AV75" s="16"/>
      <c r="BF75" s="104"/>
      <c r="BG75" s="10"/>
      <c r="BH75" s="10"/>
      <c r="BJ75" s="43"/>
      <c r="BL75" s="10"/>
      <c r="BM75" s="109"/>
      <c r="BQ75" s="10"/>
    </row>
    <row r="76" spans="1:86" ht="13" customHeight="1">
      <c r="C76" s="84"/>
      <c r="D76" s="84"/>
      <c r="E76" s="84"/>
      <c r="F76" s="84"/>
      <c r="G76" s="84"/>
      <c r="H76" s="84"/>
      <c r="I76" s="85"/>
      <c r="J76" s="668" t="s">
        <v>4</v>
      </c>
      <c r="K76" s="669"/>
      <c r="L76" s="669"/>
      <c r="M76" s="669"/>
      <c r="N76" s="669"/>
      <c r="O76" s="669"/>
      <c r="P76" s="669"/>
      <c r="Q76" s="669"/>
      <c r="R76" s="669"/>
      <c r="S76" s="669"/>
      <c r="T76" s="669"/>
      <c r="U76" s="669"/>
      <c r="V76" s="669"/>
      <c r="W76" s="670"/>
      <c r="X76" s="11"/>
      <c r="Y76" s="671" t="s">
        <v>5</v>
      </c>
      <c r="Z76" s="672"/>
      <c r="AA76" s="672"/>
      <c r="AB76" s="672"/>
      <c r="AC76" s="672"/>
      <c r="AD76" s="672"/>
      <c r="AE76" s="672"/>
      <c r="AF76" s="672"/>
      <c r="AG76" s="672"/>
      <c r="AH76" s="672"/>
      <c r="AI76" s="672"/>
      <c r="AJ76" s="672"/>
      <c r="AK76" s="672"/>
      <c r="AL76" s="672"/>
      <c r="AM76" s="672"/>
      <c r="AN76" s="672"/>
      <c r="AO76" s="672"/>
      <c r="AP76" s="672"/>
      <c r="AQ76" s="672"/>
      <c r="AR76" s="672"/>
      <c r="AS76" s="672"/>
      <c r="AT76" s="672"/>
      <c r="AU76" s="673"/>
      <c r="AV76" s="11"/>
      <c r="AW76" s="668" t="s">
        <v>232</v>
      </c>
      <c r="AX76" s="669"/>
      <c r="AY76" s="669"/>
      <c r="AZ76" s="669"/>
      <c r="BA76" s="669"/>
      <c r="BB76" s="669"/>
      <c r="BC76" s="669"/>
      <c r="BD76" s="669"/>
      <c r="BE76" s="669"/>
      <c r="BF76" s="669"/>
      <c r="BG76" s="669"/>
      <c r="BH76" s="669"/>
      <c r="BI76" s="669"/>
      <c r="BJ76" s="669"/>
      <c r="BK76" s="669"/>
      <c r="BL76" s="669"/>
      <c r="BM76" s="669"/>
      <c r="BN76" s="669"/>
      <c r="BO76" s="669"/>
      <c r="BP76" s="669"/>
      <c r="BQ76" s="669"/>
      <c r="BR76" s="669"/>
      <c r="BS76" s="669"/>
      <c r="BT76" s="669"/>
      <c r="BU76" s="669"/>
      <c r="BV76" s="669"/>
      <c r="BW76" s="670"/>
    </row>
    <row r="77" spans="1:86">
      <c r="A77" s="644" t="s">
        <v>402</v>
      </c>
      <c r="B77" s="12" t="s">
        <v>6</v>
      </c>
      <c r="C77" s="677" t="s">
        <v>7</v>
      </c>
      <c r="D77" s="677"/>
      <c r="E77" s="677"/>
      <c r="F77" s="677" t="s">
        <v>8</v>
      </c>
      <c r="G77" s="677"/>
      <c r="H77" s="677"/>
      <c r="I77" s="13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640"/>
      <c r="AJ77" s="640"/>
      <c r="AK77" s="640"/>
      <c r="AL77" s="640"/>
      <c r="AM77" s="640"/>
      <c r="AN77" s="640"/>
      <c r="AO77" s="640"/>
      <c r="AP77" s="640"/>
      <c r="AQ77" s="640"/>
      <c r="AR77" s="640"/>
      <c r="AS77" s="640"/>
      <c r="AT77" s="640"/>
      <c r="AU77" s="640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</row>
    <row r="78" spans="1:86" ht="60">
      <c r="B78" s="503" t="s">
        <v>372</v>
      </c>
      <c r="C78" s="15" t="s">
        <v>9</v>
      </c>
      <c r="D78" s="15" t="s">
        <v>10</v>
      </c>
      <c r="E78" s="15" t="s">
        <v>11</v>
      </c>
      <c r="F78" s="15" t="s">
        <v>9</v>
      </c>
      <c r="G78" s="15" t="s">
        <v>10</v>
      </c>
      <c r="H78" s="15" t="s">
        <v>11</v>
      </c>
      <c r="I78" s="16"/>
      <c r="K78" s="17" t="s">
        <v>12</v>
      </c>
      <c r="L78" s="17" t="s">
        <v>13</v>
      </c>
      <c r="M78" s="17" t="s">
        <v>14</v>
      </c>
      <c r="N78" s="18" t="s">
        <v>15</v>
      </c>
      <c r="O78" s="18" t="s">
        <v>16</v>
      </c>
      <c r="P78" s="18" t="s">
        <v>17</v>
      </c>
      <c r="Q78" s="486" t="s">
        <v>18</v>
      </c>
      <c r="R78" s="486" t="s">
        <v>19</v>
      </c>
      <c r="S78" s="487" t="s">
        <v>3</v>
      </c>
      <c r="T78" s="486" t="s">
        <v>20</v>
      </c>
      <c r="U78" s="486" t="s">
        <v>21</v>
      </c>
      <c r="V78" s="486" t="s">
        <v>22</v>
      </c>
      <c r="W78" s="486" t="s">
        <v>22</v>
      </c>
      <c r="X78" s="19"/>
      <c r="Y78" s="584"/>
      <c r="Z78" s="585" t="s">
        <v>376</v>
      </c>
      <c r="AA78" s="586" t="s">
        <v>377</v>
      </c>
      <c r="AB78" s="587" t="s">
        <v>25</v>
      </c>
      <c r="AC78" s="587" t="s">
        <v>26</v>
      </c>
      <c r="AD78" s="587" t="s">
        <v>378</v>
      </c>
      <c r="AE78" s="586" t="s">
        <v>379</v>
      </c>
      <c r="AF78" s="586" t="s">
        <v>380</v>
      </c>
      <c r="AG78" s="588" t="s">
        <v>381</v>
      </c>
      <c r="AH78" s="588" t="s">
        <v>382</v>
      </c>
      <c r="AI78" s="587" t="s">
        <v>383</v>
      </c>
      <c r="AJ78" s="586" t="s">
        <v>384</v>
      </c>
      <c r="AK78" s="586" t="s">
        <v>385</v>
      </c>
      <c r="AL78" s="586" t="s">
        <v>386</v>
      </c>
      <c r="AM78" s="587" t="s">
        <v>387</v>
      </c>
      <c r="AN78" s="589" t="s">
        <v>388</v>
      </c>
      <c r="AO78" s="586" t="s">
        <v>389</v>
      </c>
      <c r="AP78" s="586" t="s">
        <v>390</v>
      </c>
      <c r="AQ78" s="587" t="s">
        <v>391</v>
      </c>
      <c r="AR78" s="586" t="s">
        <v>392</v>
      </c>
      <c r="AS78" s="586" t="s">
        <v>393</v>
      </c>
      <c r="AT78" s="590" t="s">
        <v>22</v>
      </c>
      <c r="AU78" s="590" t="s">
        <v>22</v>
      </c>
      <c r="AV78" s="19"/>
      <c r="AX78" s="23" t="s">
        <v>42</v>
      </c>
      <c r="AY78" s="23" t="s">
        <v>25</v>
      </c>
      <c r="AZ78" s="24" t="s">
        <v>64</v>
      </c>
      <c r="BA78" s="25" t="s">
        <v>65</v>
      </c>
      <c r="BC78" s="3" t="s">
        <v>66</v>
      </c>
      <c r="BD78" s="3" t="s">
        <v>67</v>
      </c>
      <c r="BE78" s="3" t="s">
        <v>43</v>
      </c>
      <c r="BF78" s="3" t="s">
        <v>44</v>
      </c>
      <c r="BG78" s="3" t="s">
        <v>45</v>
      </c>
      <c r="BH78" s="3" t="s">
        <v>46</v>
      </c>
      <c r="BI78" s="3" t="s">
        <v>47</v>
      </c>
      <c r="BJ78" s="3" t="s">
        <v>68</v>
      </c>
      <c r="BK78" s="3" t="s">
        <v>48</v>
      </c>
      <c r="BL78" s="3" t="s">
        <v>49</v>
      </c>
      <c r="BM78" s="26" t="s">
        <v>69</v>
      </c>
      <c r="BN78" s="26" t="s">
        <v>70</v>
      </c>
      <c r="BO78" s="26" t="s">
        <v>71</v>
      </c>
      <c r="BP78" s="26" t="s">
        <v>72</v>
      </c>
      <c r="BQ78" s="26" t="s">
        <v>73</v>
      </c>
      <c r="BR78" s="27"/>
      <c r="BS78" s="18" t="s">
        <v>74</v>
      </c>
      <c r="BT78" s="18" t="s">
        <v>75</v>
      </c>
      <c r="BU78" s="486" t="s">
        <v>229</v>
      </c>
      <c r="BV78" s="486" t="s">
        <v>230</v>
      </c>
      <c r="BW78" s="486" t="s">
        <v>231</v>
      </c>
    </row>
    <row r="79" spans="1:86">
      <c r="B79" s="583" t="s">
        <v>434</v>
      </c>
      <c r="C79" s="29">
        <v>179</v>
      </c>
      <c r="D79" s="30">
        <f>E79-C79</f>
        <v>2023</v>
      </c>
      <c r="E79" s="31">
        <v>2202</v>
      </c>
      <c r="F79" s="29">
        <v>253</v>
      </c>
      <c r="G79" s="30">
        <f>H79-F79</f>
        <v>1946</v>
      </c>
      <c r="H79" s="31">
        <v>2199</v>
      </c>
      <c r="I79" s="32"/>
      <c r="K79" s="33">
        <f>(C79/E79)/(F79/H79)</f>
        <v>0.70654597150273024</v>
      </c>
      <c r="L79" s="34">
        <f>(D79/(C79*E79)+(G79/(F79*H79)))</f>
        <v>8.6302765819375009E-3</v>
      </c>
      <c r="M79" s="35">
        <f>1/L79</f>
        <v>115.87114161473369</v>
      </c>
      <c r="N79" s="36">
        <f>LN(K79)</f>
        <v>-0.34736700961462924</v>
      </c>
      <c r="O79" s="36">
        <f>M79*N79</f>
        <v>-40.249811963343262</v>
      </c>
      <c r="P79" s="36">
        <f>LN(K79)</f>
        <v>-0.34736700961462924</v>
      </c>
      <c r="Q79" s="37">
        <f>K79</f>
        <v>0.70654597150273024</v>
      </c>
      <c r="R79" s="38">
        <f>SQRT(1/M79)</f>
        <v>9.2899281923691429E-2</v>
      </c>
      <c r="S79" s="39">
        <f>$H$2</f>
        <v>1.9599639845400536</v>
      </c>
      <c r="T79" s="40">
        <f>P79-(R79*S79)</f>
        <v>-0.52944625637469733</v>
      </c>
      <c r="U79" s="40">
        <f>P79+(R79*S79)</f>
        <v>-0.1652877628545612</v>
      </c>
      <c r="V79" s="41">
        <f>EXP(T79)</f>
        <v>0.58893099618735578</v>
      </c>
      <c r="W79" s="42">
        <f>EXP(U79)</f>
        <v>0.8476497468778581</v>
      </c>
      <c r="X79" s="43"/>
      <c r="Y79" s="591"/>
      <c r="Z79" s="592">
        <f>(N79-P82)^2</f>
        <v>5.0152397286945E-3</v>
      </c>
      <c r="AA79" s="593">
        <f>M79*Z79</f>
        <v>0.58112155283539901</v>
      </c>
      <c r="AB79" s="594">
        <v>1</v>
      </c>
      <c r="AC79" s="595"/>
      <c r="AD79" s="595"/>
      <c r="AE79" s="596">
        <f>M79^2</f>
        <v>13426.121459101669</v>
      </c>
      <c r="AF79" s="597"/>
      <c r="AG79" s="598">
        <f>AG82</f>
        <v>-8.0972964510088821E-4</v>
      </c>
      <c r="AH79" s="598" t="str">
        <f>AH82</f>
        <v>0</v>
      </c>
      <c r="AI79" s="593">
        <f>1/M79</f>
        <v>8.6302765819375009E-3</v>
      </c>
      <c r="AJ79" s="599">
        <f>1/(AH79+AI79)</f>
        <v>115.87114161473369</v>
      </c>
      <c r="AK79" s="600">
        <f>AJ79/AJ82</f>
        <v>0.2640586445838039</v>
      </c>
      <c r="AL79" s="601">
        <f>AJ79*N79</f>
        <v>-40.249811963343262</v>
      </c>
      <c r="AM79" s="601">
        <f>AL79/AJ79</f>
        <v>-0.34736700961462924</v>
      </c>
      <c r="AN79" s="602">
        <f>EXP(AM79)</f>
        <v>0.70654597150273024</v>
      </c>
      <c r="AO79" s="603">
        <f>1/AJ79</f>
        <v>8.6302765819375009E-3</v>
      </c>
      <c r="AP79" s="604">
        <f>SQRT(AO79)</f>
        <v>9.2899281923691429E-2</v>
      </c>
      <c r="AQ79" s="605">
        <f>$H$2</f>
        <v>1.9599639845400536</v>
      </c>
      <c r="AR79" s="606">
        <f>AM79-(AQ79*AP79)</f>
        <v>-0.52944625637469733</v>
      </c>
      <c r="AS79" s="606">
        <f>AM79+(1.96*AP79)</f>
        <v>-0.16528441704419405</v>
      </c>
      <c r="AT79" s="607">
        <f>EXP(AR79)</f>
        <v>0.58893099618735578</v>
      </c>
      <c r="AU79" s="607">
        <f>EXP(AS79)</f>
        <v>0.84765258295791335</v>
      </c>
      <c r="AV79" s="16"/>
      <c r="AX79" s="53"/>
      <c r="AY79" s="53">
        <v>1</v>
      </c>
      <c r="AZ79" s="54"/>
      <c r="BA79" s="54"/>
      <c r="BC79" s="27"/>
      <c r="BD79" s="27"/>
      <c r="BE79" s="2"/>
      <c r="BF79" s="2"/>
      <c r="BG79" s="2"/>
      <c r="BH79" s="2"/>
      <c r="BI79" s="2"/>
      <c r="BJ79" s="2"/>
      <c r="BK79" s="2"/>
      <c r="BL79" s="2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</row>
    <row r="80" spans="1:86">
      <c r="B80" s="583" t="s">
        <v>436</v>
      </c>
      <c r="C80" s="29">
        <v>400</v>
      </c>
      <c r="D80" s="30">
        <f>E80-C80</f>
        <v>4892</v>
      </c>
      <c r="E80" s="31">
        <v>5292</v>
      </c>
      <c r="F80" s="29">
        <v>530</v>
      </c>
      <c r="G80" s="30">
        <f>H80-F80</f>
        <v>4762</v>
      </c>
      <c r="H80" s="31">
        <v>5292</v>
      </c>
      <c r="I80" s="32"/>
      <c r="K80" s="33">
        <f t="shared" ref="K80:K81" si="192">(C80/E80)/(F80/H80)</f>
        <v>0.75471698113207542</v>
      </c>
      <c r="L80" s="34">
        <f t="shared" ref="L80:L81" si="193">(D80/(C80*E80)+(G80/(F80*H80)))</f>
        <v>4.0088635034726677E-3</v>
      </c>
      <c r="M80" s="35">
        <f t="shared" ref="M80:M81" si="194">1/L80</f>
        <v>249.44725584539174</v>
      </c>
      <c r="N80" s="36">
        <f t="shared" ref="N80:N81" si="195">LN(K80)</f>
        <v>-0.2814124594381856</v>
      </c>
      <c r="O80" s="36">
        <f t="shared" ref="O80:O81" si="196">M80*N80</f>
        <v>-70.197565767558004</v>
      </c>
      <c r="P80" s="36">
        <f t="shared" ref="P80:P81" si="197">LN(K80)</f>
        <v>-0.2814124594381856</v>
      </c>
      <c r="Q80" s="37">
        <f t="shared" ref="Q80:Q81" si="198">K80</f>
        <v>0.75471698113207542</v>
      </c>
      <c r="R80" s="38">
        <f t="shared" ref="R80:R81" si="199">SQRT(1/M80)</f>
        <v>6.3315586576076735E-2</v>
      </c>
      <c r="S80" s="39">
        <f t="shared" ref="S80:S82" si="200">$H$2</f>
        <v>1.9599639845400536</v>
      </c>
      <c r="T80" s="40">
        <f t="shared" ref="T80:T81" si="201">P80-(R80*S80)</f>
        <v>-0.40550872878732369</v>
      </c>
      <c r="U80" s="40">
        <f t="shared" ref="U80:U81" si="202">P80+(R80*S80)</f>
        <v>-0.15731619008904751</v>
      </c>
      <c r="V80" s="41">
        <f t="shared" ref="V80:W81" si="203">EXP(T80)</f>
        <v>0.66663758684813912</v>
      </c>
      <c r="W80" s="42">
        <f t="shared" si="203"/>
        <v>0.85443385258573568</v>
      </c>
      <c r="X80" s="43"/>
      <c r="Y80" s="591"/>
      <c r="Z80" s="592">
        <f>(N80-P82)^2</f>
        <v>2.3656619599448363E-5</v>
      </c>
      <c r="AA80" s="593">
        <f t="shared" ref="AA80:AA81" si="204">M80*Z80</f>
        <v>5.9010788416607044E-3</v>
      </c>
      <c r="AB80" s="594">
        <v>1</v>
      </c>
      <c r="AC80" s="595"/>
      <c r="AD80" s="595"/>
      <c r="AE80" s="596">
        <f t="shared" ref="AE80:AE81" si="205">M80^2</f>
        <v>62223.933448796321</v>
      </c>
      <c r="AF80" s="597"/>
      <c r="AG80" s="598">
        <f>AG82</f>
        <v>-8.0972964510088821E-4</v>
      </c>
      <c r="AH80" s="598" t="str">
        <f>AH82</f>
        <v>0</v>
      </c>
      <c r="AI80" s="593">
        <f t="shared" ref="AI80:AI81" si="206">1/M80</f>
        <v>4.0088635034726677E-3</v>
      </c>
      <c r="AJ80" s="599">
        <f t="shared" ref="AJ80:AJ81" si="207">1/(AH80+AI80)</f>
        <v>249.44725584539174</v>
      </c>
      <c r="AK80" s="600">
        <f>AJ80/AJ82</f>
        <v>0.56846513597573722</v>
      </c>
      <c r="AL80" s="601">
        <f t="shared" ref="AL80:AL81" si="208">AJ80*N80</f>
        <v>-70.197565767558004</v>
      </c>
      <c r="AM80" s="601">
        <f t="shared" ref="AM80:AM81" si="209">AL80/AJ80</f>
        <v>-0.2814124594381856</v>
      </c>
      <c r="AN80" s="602">
        <f t="shared" ref="AN80:AN81" si="210">EXP(AM80)</f>
        <v>0.75471698113207542</v>
      </c>
      <c r="AO80" s="603">
        <f t="shared" ref="AO80:AO81" si="211">1/AJ80</f>
        <v>4.0088635034726677E-3</v>
      </c>
      <c r="AP80" s="604">
        <f t="shared" ref="AP80:AP81" si="212">SQRT(AO80)</f>
        <v>6.3315586576076735E-2</v>
      </c>
      <c r="AQ80" s="605">
        <f t="shared" ref="AQ80:AQ82" si="213">$H$2</f>
        <v>1.9599639845400536</v>
      </c>
      <c r="AR80" s="606">
        <f t="shared" ref="AR80:AR81" si="214">AM80-(AQ80*AP80)</f>
        <v>-0.40550872878732369</v>
      </c>
      <c r="AS80" s="606">
        <f t="shared" ref="AS80:AS81" si="215">AM80+(1.96*AP80)</f>
        <v>-0.15731390974907522</v>
      </c>
      <c r="AT80" s="607">
        <f t="shared" ref="AT80:AU81" si="216">EXP(AR80)</f>
        <v>0.66663758684813912</v>
      </c>
      <c r="AU80" s="607">
        <f t="shared" si="216"/>
        <v>0.85443580098762495</v>
      </c>
      <c r="AV80" s="16"/>
      <c r="AX80" s="53"/>
      <c r="AY80" s="53">
        <v>1</v>
      </c>
      <c r="AZ80" s="54"/>
      <c r="BA80" s="54"/>
      <c r="BC80" s="27"/>
      <c r="BD80" s="27"/>
      <c r="BE80" s="2"/>
      <c r="BF80" s="2"/>
      <c r="BG80" s="2"/>
      <c r="BH80" s="2"/>
      <c r="BI80" s="2"/>
      <c r="BJ80" s="2"/>
      <c r="BK80" s="2"/>
      <c r="BL80" s="2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</row>
    <row r="81" spans="1:75">
      <c r="B81" s="583" t="s">
        <v>437</v>
      </c>
      <c r="C81" s="29">
        <v>131</v>
      </c>
      <c r="D81" s="30">
        <f t="shared" ref="D81" si="217">E81-C81</f>
        <v>3173</v>
      </c>
      <c r="E81" s="31">
        <v>3304</v>
      </c>
      <c r="F81" s="29">
        <v>152</v>
      </c>
      <c r="G81" s="30">
        <f t="shared" ref="G81" si="218">H81-F81</f>
        <v>3153</v>
      </c>
      <c r="H81" s="31">
        <v>3305</v>
      </c>
      <c r="I81" s="32"/>
      <c r="K81" s="33">
        <f t="shared" si="192"/>
        <v>0.86210295335797116</v>
      </c>
      <c r="L81" s="34">
        <f t="shared" si="193"/>
        <v>1.3607299855606991E-2</v>
      </c>
      <c r="M81" s="35">
        <f t="shared" si="194"/>
        <v>73.489965725120868</v>
      </c>
      <c r="N81" s="36">
        <f t="shared" si="195"/>
        <v>-0.1483805800002069</v>
      </c>
      <c r="O81" s="36">
        <f t="shared" si="196"/>
        <v>-10.904483738488761</v>
      </c>
      <c r="P81" s="36">
        <f t="shared" si="197"/>
        <v>-0.1483805800002069</v>
      </c>
      <c r="Q81" s="37">
        <f t="shared" si="198"/>
        <v>0.86210295335797116</v>
      </c>
      <c r="R81" s="38">
        <f t="shared" si="199"/>
        <v>0.11665033157092608</v>
      </c>
      <c r="S81" s="39">
        <f t="shared" si="200"/>
        <v>1.9599639845400536</v>
      </c>
      <c r="T81" s="40">
        <f t="shared" si="201"/>
        <v>-0.37701102866387759</v>
      </c>
      <c r="U81" s="40">
        <f t="shared" si="202"/>
        <v>8.0249868663463786E-2</v>
      </c>
      <c r="V81" s="41">
        <f t="shared" si="203"/>
        <v>0.6859085091999072</v>
      </c>
      <c r="W81" s="42">
        <f t="shared" si="203"/>
        <v>1.0835577809866843</v>
      </c>
      <c r="X81" s="43"/>
      <c r="Y81" s="591"/>
      <c r="Z81" s="592">
        <f>(N81-P82)^2</f>
        <v>1.6427054764371122E-2</v>
      </c>
      <c r="AA81" s="593">
        <f t="shared" si="204"/>
        <v>1.2072236915983172</v>
      </c>
      <c r="AB81" s="594">
        <v>1</v>
      </c>
      <c r="AC81" s="595"/>
      <c r="AD81" s="595"/>
      <c r="AE81" s="596">
        <f t="shared" si="205"/>
        <v>5400.7750622794401</v>
      </c>
      <c r="AF81" s="597"/>
      <c r="AG81" s="598">
        <f>AG82</f>
        <v>-8.0972964510088821E-4</v>
      </c>
      <c r="AH81" s="598" t="str">
        <f>AH82</f>
        <v>0</v>
      </c>
      <c r="AI81" s="593">
        <f t="shared" si="206"/>
        <v>1.3607299855606993E-2</v>
      </c>
      <c r="AJ81" s="599">
        <f t="shared" si="207"/>
        <v>73.489965725120868</v>
      </c>
      <c r="AK81" s="600">
        <f>AJ81/AJ82</f>
        <v>0.16747621944045882</v>
      </c>
      <c r="AL81" s="601">
        <f t="shared" si="208"/>
        <v>-10.904483738488761</v>
      </c>
      <c r="AM81" s="601">
        <f t="shared" si="209"/>
        <v>-0.1483805800002069</v>
      </c>
      <c r="AN81" s="602">
        <f t="shared" si="210"/>
        <v>0.86210295335797116</v>
      </c>
      <c r="AO81" s="603">
        <f t="shared" si="211"/>
        <v>1.3607299855606993E-2</v>
      </c>
      <c r="AP81" s="604">
        <f t="shared" si="212"/>
        <v>0.11665033157092608</v>
      </c>
      <c r="AQ81" s="605">
        <f t="shared" si="213"/>
        <v>1.9599639845400536</v>
      </c>
      <c r="AR81" s="606">
        <f t="shared" si="214"/>
        <v>-0.37701102866387759</v>
      </c>
      <c r="AS81" s="606">
        <f t="shared" si="215"/>
        <v>8.0254069878808204E-2</v>
      </c>
      <c r="AT81" s="607">
        <f t="shared" si="216"/>
        <v>0.6859085091999072</v>
      </c>
      <c r="AU81" s="607">
        <f t="shared" si="216"/>
        <v>1.0835623332558229</v>
      </c>
      <c r="AV81" s="16"/>
      <c r="AX81" s="53"/>
      <c r="AY81" s="53">
        <v>1</v>
      </c>
      <c r="AZ81" s="54"/>
      <c r="BA81" s="54"/>
      <c r="BC81" s="27"/>
      <c r="BD81" s="27"/>
      <c r="BE81" s="2"/>
      <c r="BF81" s="2"/>
      <c r="BG81" s="2"/>
      <c r="BH81" s="2"/>
      <c r="BI81" s="2"/>
      <c r="BJ81" s="2"/>
      <c r="BK81" s="2"/>
      <c r="BL81" s="2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</row>
    <row r="82" spans="1:75">
      <c r="B82" s="55">
        <f>COUNT(D79:D81)</f>
        <v>3</v>
      </c>
      <c r="C82" s="56">
        <f t="shared" ref="C82:H82" si="219">SUM(C79:C81)</f>
        <v>710</v>
      </c>
      <c r="D82" s="56">
        <f t="shared" si="219"/>
        <v>10088</v>
      </c>
      <c r="E82" s="56">
        <f t="shared" si="219"/>
        <v>10798</v>
      </c>
      <c r="F82" s="56">
        <f t="shared" si="219"/>
        <v>935</v>
      </c>
      <c r="G82" s="56">
        <f t="shared" si="219"/>
        <v>9861</v>
      </c>
      <c r="H82" s="56">
        <f t="shared" si="219"/>
        <v>10796</v>
      </c>
      <c r="I82" s="57"/>
      <c r="K82" s="58"/>
      <c r="L82" s="112"/>
      <c r="M82" s="60">
        <f>SUM(M79:M81)</f>
        <v>438.80836318524632</v>
      </c>
      <c r="N82" s="61"/>
      <c r="O82" s="62">
        <f>SUM(O79:O81)</f>
        <v>-121.35186146939003</v>
      </c>
      <c r="P82" s="63">
        <f>O82/M82</f>
        <v>-0.27654865232858017</v>
      </c>
      <c r="Q82" s="488">
        <f>EXP(P82)</f>
        <v>0.75839672046763651</v>
      </c>
      <c r="R82" s="488">
        <f>SQRT(1/M82)</f>
        <v>4.773781663010742E-2</v>
      </c>
      <c r="S82" s="489">
        <f t="shared" si="200"/>
        <v>1.9599639845400536</v>
      </c>
      <c r="T82" s="490">
        <f>P82-(R82*S82)</f>
        <v>-0.37011305362416791</v>
      </c>
      <c r="U82" s="490">
        <f>P82+(R82*S82)</f>
        <v>-0.1829842510329924</v>
      </c>
      <c r="V82" s="491">
        <f>EXP(T82)</f>
        <v>0.69065624503195244</v>
      </c>
      <c r="W82" s="492">
        <f>EXP(U82)</f>
        <v>0.83278127107857691</v>
      </c>
      <c r="X82" s="65"/>
      <c r="Y82" s="608"/>
      <c r="Z82" s="609"/>
      <c r="AA82" s="610">
        <f>SUM(AA79:AA81)</f>
        <v>1.7942463232753769</v>
      </c>
      <c r="AB82" s="611">
        <f>SUM(AB79:AB81)</f>
        <v>3</v>
      </c>
      <c r="AC82" s="612">
        <f>AA82-(AB82-1)</f>
        <v>-0.20575367672462308</v>
      </c>
      <c r="AD82" s="613">
        <f>M82</f>
        <v>438.80836318524632</v>
      </c>
      <c r="AE82" s="613">
        <f>SUM(AE79:AE81)</f>
        <v>81050.829970177423</v>
      </c>
      <c r="AF82" s="614">
        <f>AE82/AD82</f>
        <v>184.70666644054182</v>
      </c>
      <c r="AG82" s="615">
        <f>AC82/(AD82-AF82)</f>
        <v>-8.0972964510088821E-4</v>
      </c>
      <c r="AH82" s="615" t="str">
        <f>IF(AA82&lt;AB82-1,"0",AG82)</f>
        <v>0</v>
      </c>
      <c r="AI82" s="609"/>
      <c r="AJ82" s="613">
        <f>SUM(AJ79:AJ81)</f>
        <v>438.80836318524632</v>
      </c>
      <c r="AK82" s="616">
        <f>SUM(AK79:AK81)</f>
        <v>1</v>
      </c>
      <c r="AL82" s="612">
        <f>SUM(AL79:AL81)</f>
        <v>-121.35186146939003</v>
      </c>
      <c r="AM82" s="612">
        <f>AL82/AJ82</f>
        <v>-0.27654865232858017</v>
      </c>
      <c r="AN82" s="617">
        <f>EXP(AM82)</f>
        <v>0.75839672046763651</v>
      </c>
      <c r="AO82" s="618">
        <f>1/AJ82</f>
        <v>2.2788991366097604E-3</v>
      </c>
      <c r="AP82" s="619">
        <f>SQRT(AO82)</f>
        <v>4.773781663010742E-2</v>
      </c>
      <c r="AQ82" s="605">
        <f t="shared" si="213"/>
        <v>1.9599639845400536</v>
      </c>
      <c r="AR82" s="620">
        <f>AM82-(AQ82*AP82)</f>
        <v>-0.37011305362416791</v>
      </c>
      <c r="AS82" s="620">
        <f>AM82+(1.96*AP82)</f>
        <v>-0.18298253173356963</v>
      </c>
      <c r="AT82" s="621">
        <f>EXP(AR82)</f>
        <v>0.69065624503195244</v>
      </c>
      <c r="AU82" s="621">
        <f>EXP(AS82)</f>
        <v>0.83278270288016643</v>
      </c>
      <c r="AV82" s="75"/>
      <c r="AW82" s="76"/>
      <c r="AX82" s="77">
        <f>AA82</f>
        <v>1.7942463232753769</v>
      </c>
      <c r="AY82" s="55">
        <f>SUM(AY79:AY81)</f>
        <v>3</v>
      </c>
      <c r="AZ82" s="78">
        <f>(AX82-(AY82-1))/AX82</f>
        <v>-0.1146741526263919</v>
      </c>
      <c r="BA82" s="79" t="str">
        <f>IF(AA82&lt;AB82-1,"0%",AZ82)</f>
        <v>0%</v>
      </c>
      <c r="BB82" s="76"/>
      <c r="BC82" s="62">
        <f>AX82/(AY82-1)</f>
        <v>0.89712316163768846</v>
      </c>
      <c r="BD82" s="80">
        <f>LN(BC82)</f>
        <v>-0.10856212240475337</v>
      </c>
      <c r="BE82" s="62">
        <f>LN(AX82)</f>
        <v>0.58458505815519191</v>
      </c>
      <c r="BF82" s="62">
        <f>LN(AY82-1)</f>
        <v>0.69314718055994529</v>
      </c>
      <c r="BG82" s="62">
        <f>SQRT(2*AX82)</f>
        <v>1.8943317150253156</v>
      </c>
      <c r="BH82" s="62">
        <f>SQRT(2*AY82-3)</f>
        <v>1.7320508075688772</v>
      </c>
      <c r="BI82" s="62">
        <f>2*(AY82-2)</f>
        <v>2</v>
      </c>
      <c r="BJ82" s="62">
        <f>3*(AY82-2)^2</f>
        <v>3</v>
      </c>
      <c r="BK82" s="62">
        <f>1/BI82</f>
        <v>0.5</v>
      </c>
      <c r="BL82" s="81">
        <f>1/BJ82</f>
        <v>0.33333333333333331</v>
      </c>
      <c r="BM82" s="81">
        <f>SQRT(BK82*(1-BL82))</f>
        <v>0.57735026918962584</v>
      </c>
      <c r="BN82" s="82">
        <f>0.5*(BE82-BF82)/(BG82-BH82)</f>
        <v>-0.33448827747618759</v>
      </c>
      <c r="BO82" s="82">
        <f>IF(AA82&lt;=AB82,BM82,BN82)</f>
        <v>0.57735026918962584</v>
      </c>
      <c r="BP82" s="69">
        <f>BD82-(1.96*BO82)</f>
        <v>-1.24016865001642</v>
      </c>
      <c r="BQ82" s="69">
        <f>BD82+(1.96*BO82)</f>
        <v>1.0230444052069134</v>
      </c>
      <c r="BR82" s="69"/>
      <c r="BS82" s="80">
        <f>EXP(BP82)</f>
        <v>0.28933541740116497</v>
      </c>
      <c r="BT82" s="80">
        <f>EXP(BQ82)</f>
        <v>2.78165035713862</v>
      </c>
      <c r="BU82" s="83" t="str">
        <f>BA82</f>
        <v>0%</v>
      </c>
      <c r="BV82" s="83">
        <f>(BS82-1)/BS82</f>
        <v>-2.4561963031767213</v>
      </c>
      <c r="BW82" s="83">
        <f>(BT82-1)/BT82</f>
        <v>0.64050118756526153</v>
      </c>
    </row>
    <row r="83" spans="1:75" ht="13.5" thickBot="1">
      <c r="C83" s="84"/>
      <c r="D83" s="84"/>
      <c r="E83" s="84"/>
      <c r="F83" s="84"/>
      <c r="G83" s="84"/>
      <c r="H83" s="84"/>
      <c r="I83" s="85"/>
      <c r="R83" s="86"/>
      <c r="S83" s="86"/>
      <c r="T83" s="86"/>
      <c r="U83" s="86"/>
      <c r="V83" s="86"/>
      <c r="W83" s="86"/>
      <c r="X83" s="86"/>
      <c r="Y83" s="591"/>
      <c r="Z83" s="591"/>
      <c r="AA83" s="591"/>
      <c r="AB83" s="584"/>
      <c r="AC83" s="622"/>
      <c r="AD83" s="623"/>
      <c r="AE83" s="622"/>
      <c r="AF83" s="624"/>
      <c r="AG83" s="624"/>
      <c r="AH83" s="624"/>
      <c r="AI83" s="624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625"/>
      <c r="AU83" s="625"/>
      <c r="AV83" s="91"/>
      <c r="AX83" s="5" t="s">
        <v>59</v>
      </c>
      <c r="BG83" s="10"/>
      <c r="BN83" s="88" t="s">
        <v>60</v>
      </c>
      <c r="BT83" s="92" t="s">
        <v>61</v>
      </c>
      <c r="BU83" s="495" t="str">
        <f>BU82</f>
        <v>0%</v>
      </c>
      <c r="BV83" s="495" t="str">
        <f>IF(BV82&lt;0,"0%",BV82)</f>
        <v>0%</v>
      </c>
      <c r="BW83" s="496">
        <f>IF(BW82&lt;0,"0%",BW82)</f>
        <v>0.64050118756526153</v>
      </c>
    </row>
    <row r="84" spans="1:75" ht="26.5" thickBot="1">
      <c r="C84" s="93"/>
      <c r="D84" s="93"/>
      <c r="E84" s="84"/>
      <c r="F84" s="93"/>
      <c r="G84" s="93"/>
      <c r="H84" s="84"/>
      <c r="I84" s="94"/>
      <c r="J84" s="5"/>
      <c r="K84" s="5"/>
      <c r="R84" s="95"/>
      <c r="S84" s="95"/>
      <c r="T84" s="95"/>
      <c r="U84" s="95"/>
      <c r="V84" s="95"/>
      <c r="W84" s="95"/>
      <c r="X84" s="95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626"/>
      <c r="AJ84" s="627"/>
      <c r="AK84" s="627"/>
      <c r="AL84" s="628"/>
      <c r="AM84" s="629"/>
      <c r="AN84" s="591"/>
      <c r="AO84" s="630" t="s">
        <v>394</v>
      </c>
      <c r="AP84" s="631">
        <f>TINV((1-$H$1),(AB82-2))</f>
        <v>12.706204736174694</v>
      </c>
      <c r="AQ84" s="591"/>
      <c r="AR84" s="632" t="s">
        <v>63</v>
      </c>
      <c r="AS84" s="633">
        <f>$H$1</f>
        <v>0.95</v>
      </c>
      <c r="AT84" s="621">
        <f>EXP(AM82-AP84*SQRT((1/AD82)+AH82))</f>
        <v>0.41349282187998604</v>
      </c>
      <c r="AU84" s="621">
        <f>EXP(AM82+AP84*SQRT((1/AD82)+AH82))</f>
        <v>1.3909929149459455</v>
      </c>
      <c r="AV84" s="16"/>
      <c r="AX84" s="102">
        <f>_xlfn.CHISQ.DIST.RT(AX82,AY82-1)</f>
        <v>0.40774097897490758</v>
      </c>
      <c r="AY84" s="103" t="str">
        <f>IF(AX84&lt;0.05,"heterogeneidad","homogeneidad")</f>
        <v>homogeneidad</v>
      </c>
      <c r="BF84" s="104"/>
      <c r="BG84" s="10"/>
      <c r="BH84" s="10"/>
      <c r="BJ84" s="43"/>
      <c r="BL84" s="10"/>
      <c r="BM84" s="105"/>
      <c r="BQ84" s="10"/>
    </row>
    <row r="85" spans="1:75" ht="14.5">
      <c r="C85" s="93"/>
      <c r="D85" s="93"/>
      <c r="E85" s="84"/>
      <c r="F85" s="93"/>
      <c r="G85" s="93"/>
      <c r="H85" s="84"/>
      <c r="I85" s="94"/>
      <c r="J85" s="5"/>
      <c r="K85" s="5"/>
      <c r="R85" s="95"/>
      <c r="S85" s="95"/>
      <c r="T85" s="95"/>
      <c r="U85" s="95"/>
      <c r="V85" s="95"/>
      <c r="W85" s="95"/>
      <c r="X85" s="95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626"/>
      <c r="AJ85" s="627"/>
      <c r="AK85" s="627"/>
      <c r="AL85" s="628"/>
      <c r="AM85" s="629"/>
      <c r="AN85" s="635"/>
      <c r="AO85" s="636"/>
      <c r="AP85" s="637"/>
      <c r="AQ85" s="591"/>
      <c r="AR85" s="591"/>
      <c r="AS85" s="638"/>
      <c r="AT85" s="639"/>
      <c r="AU85" s="639"/>
      <c r="AV85" s="16"/>
      <c r="BF85" s="104"/>
      <c r="BG85" s="10"/>
      <c r="BH85" s="10"/>
      <c r="BJ85" s="43"/>
      <c r="BL85" s="10"/>
      <c r="BM85" s="109"/>
      <c r="BQ85" s="10"/>
    </row>
    <row r="86" spans="1:75" ht="13" customHeight="1">
      <c r="C86" s="653"/>
      <c r="D86" s="84"/>
      <c r="E86" s="84"/>
      <c r="F86" s="84"/>
      <c r="G86" s="84"/>
      <c r="H86" s="84"/>
      <c r="I86" s="85"/>
      <c r="J86" s="668" t="s">
        <v>4</v>
      </c>
      <c r="K86" s="669"/>
      <c r="L86" s="669"/>
      <c r="M86" s="669"/>
      <c r="N86" s="669"/>
      <c r="O86" s="669"/>
      <c r="P86" s="669"/>
      <c r="Q86" s="669"/>
      <c r="R86" s="669"/>
      <c r="S86" s="669"/>
      <c r="T86" s="669"/>
      <c r="U86" s="669"/>
      <c r="V86" s="669"/>
      <c r="W86" s="670"/>
      <c r="X86" s="11"/>
      <c r="Y86" s="671" t="s">
        <v>5</v>
      </c>
      <c r="Z86" s="672"/>
      <c r="AA86" s="672"/>
      <c r="AB86" s="672"/>
      <c r="AC86" s="672"/>
      <c r="AD86" s="672"/>
      <c r="AE86" s="672"/>
      <c r="AF86" s="672"/>
      <c r="AG86" s="672"/>
      <c r="AH86" s="672"/>
      <c r="AI86" s="672"/>
      <c r="AJ86" s="672"/>
      <c r="AK86" s="672"/>
      <c r="AL86" s="672"/>
      <c r="AM86" s="672"/>
      <c r="AN86" s="672"/>
      <c r="AO86" s="672"/>
      <c r="AP86" s="672"/>
      <c r="AQ86" s="672"/>
      <c r="AR86" s="672"/>
      <c r="AS86" s="672"/>
      <c r="AT86" s="672"/>
      <c r="AU86" s="673"/>
      <c r="AV86" s="11"/>
      <c r="AW86" s="668" t="s">
        <v>232</v>
      </c>
      <c r="AX86" s="669"/>
      <c r="AY86" s="669"/>
      <c r="AZ86" s="669"/>
      <c r="BA86" s="669"/>
      <c r="BB86" s="669"/>
      <c r="BC86" s="669"/>
      <c r="BD86" s="669"/>
      <c r="BE86" s="669"/>
      <c r="BF86" s="669"/>
      <c r="BG86" s="669"/>
      <c r="BH86" s="669"/>
      <c r="BI86" s="669"/>
      <c r="BJ86" s="669"/>
      <c r="BK86" s="669"/>
      <c r="BL86" s="669"/>
      <c r="BM86" s="669"/>
      <c r="BN86" s="669"/>
      <c r="BO86" s="669"/>
      <c r="BP86" s="669"/>
      <c r="BQ86" s="669"/>
      <c r="BR86" s="669"/>
      <c r="BS86" s="669"/>
      <c r="BT86" s="669"/>
      <c r="BU86" s="669"/>
      <c r="BV86" s="669"/>
      <c r="BW86" s="670"/>
    </row>
    <row r="87" spans="1:75">
      <c r="A87" s="644" t="s">
        <v>403</v>
      </c>
      <c r="B87" s="12" t="s">
        <v>6</v>
      </c>
      <c r="C87" s="677" t="s">
        <v>7</v>
      </c>
      <c r="D87" s="677"/>
      <c r="E87" s="677"/>
      <c r="F87" s="677" t="s">
        <v>8</v>
      </c>
      <c r="G87" s="677"/>
      <c r="H87" s="677"/>
      <c r="I87" s="13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640"/>
      <c r="Z87" s="640"/>
      <c r="AA87" s="640"/>
      <c r="AB87" s="640"/>
      <c r="AC87" s="640"/>
      <c r="AD87" s="640"/>
      <c r="AE87" s="640"/>
      <c r="AF87" s="640"/>
      <c r="AG87" s="640"/>
      <c r="AH87" s="640"/>
      <c r="AI87" s="640"/>
      <c r="AJ87" s="640"/>
      <c r="AK87" s="640"/>
      <c r="AL87" s="640"/>
      <c r="AM87" s="640"/>
      <c r="AN87" s="640"/>
      <c r="AO87" s="640"/>
      <c r="AP87" s="640"/>
      <c r="AQ87" s="640"/>
      <c r="AR87" s="640"/>
      <c r="AS87" s="640"/>
      <c r="AT87" s="640"/>
      <c r="AU87" s="640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</row>
    <row r="88" spans="1:75" ht="60">
      <c r="B88" s="503" t="s">
        <v>236</v>
      </c>
      <c r="C88" s="15" t="s">
        <v>9</v>
      </c>
      <c r="D88" s="15" t="s">
        <v>10</v>
      </c>
      <c r="E88" s="15" t="s">
        <v>11</v>
      </c>
      <c r="F88" s="15" t="s">
        <v>9</v>
      </c>
      <c r="G88" s="15" t="s">
        <v>10</v>
      </c>
      <c r="H88" s="15" t="s">
        <v>11</v>
      </c>
      <c r="I88" s="16"/>
      <c r="K88" s="17" t="s">
        <v>12</v>
      </c>
      <c r="L88" s="17" t="s">
        <v>13</v>
      </c>
      <c r="M88" s="17" t="s">
        <v>14</v>
      </c>
      <c r="N88" s="18" t="s">
        <v>15</v>
      </c>
      <c r="O88" s="18" t="s">
        <v>16</v>
      </c>
      <c r="P88" s="18" t="s">
        <v>17</v>
      </c>
      <c r="Q88" s="486" t="s">
        <v>18</v>
      </c>
      <c r="R88" s="486" t="s">
        <v>19</v>
      </c>
      <c r="S88" s="487" t="s">
        <v>3</v>
      </c>
      <c r="T88" s="486" t="s">
        <v>20</v>
      </c>
      <c r="U88" s="486" t="s">
        <v>21</v>
      </c>
      <c r="V88" s="486" t="s">
        <v>22</v>
      </c>
      <c r="W88" s="486" t="s">
        <v>22</v>
      </c>
      <c r="X88" s="19"/>
      <c r="Y88" s="584"/>
      <c r="Z88" s="585" t="s">
        <v>376</v>
      </c>
      <c r="AA88" s="586" t="s">
        <v>377</v>
      </c>
      <c r="AB88" s="587" t="s">
        <v>25</v>
      </c>
      <c r="AC88" s="587" t="s">
        <v>26</v>
      </c>
      <c r="AD88" s="587" t="s">
        <v>378</v>
      </c>
      <c r="AE88" s="586" t="s">
        <v>379</v>
      </c>
      <c r="AF88" s="586" t="s">
        <v>380</v>
      </c>
      <c r="AG88" s="588" t="s">
        <v>381</v>
      </c>
      <c r="AH88" s="588" t="s">
        <v>382</v>
      </c>
      <c r="AI88" s="587" t="s">
        <v>383</v>
      </c>
      <c r="AJ88" s="586" t="s">
        <v>384</v>
      </c>
      <c r="AK88" s="586" t="s">
        <v>385</v>
      </c>
      <c r="AL88" s="586" t="s">
        <v>386</v>
      </c>
      <c r="AM88" s="587" t="s">
        <v>387</v>
      </c>
      <c r="AN88" s="589" t="s">
        <v>388</v>
      </c>
      <c r="AO88" s="586" t="s">
        <v>389</v>
      </c>
      <c r="AP88" s="586" t="s">
        <v>390</v>
      </c>
      <c r="AQ88" s="587" t="s">
        <v>391</v>
      </c>
      <c r="AR88" s="586" t="s">
        <v>392</v>
      </c>
      <c r="AS88" s="586" t="s">
        <v>393</v>
      </c>
      <c r="AT88" s="590" t="s">
        <v>22</v>
      </c>
      <c r="AU88" s="590" t="s">
        <v>22</v>
      </c>
      <c r="AV88" s="19"/>
      <c r="AX88" s="23" t="s">
        <v>42</v>
      </c>
      <c r="AY88" s="23" t="s">
        <v>25</v>
      </c>
      <c r="AZ88" s="24" t="s">
        <v>64</v>
      </c>
      <c r="BA88" s="25" t="s">
        <v>65</v>
      </c>
      <c r="BC88" s="3" t="s">
        <v>66</v>
      </c>
      <c r="BD88" s="3" t="s">
        <v>67</v>
      </c>
      <c r="BE88" s="3" t="s">
        <v>43</v>
      </c>
      <c r="BF88" s="3" t="s">
        <v>44</v>
      </c>
      <c r="BG88" s="3" t="s">
        <v>45</v>
      </c>
      <c r="BH88" s="3" t="s">
        <v>46</v>
      </c>
      <c r="BI88" s="3" t="s">
        <v>47</v>
      </c>
      <c r="BJ88" s="3" t="s">
        <v>68</v>
      </c>
      <c r="BK88" s="3" t="s">
        <v>48</v>
      </c>
      <c r="BL88" s="3" t="s">
        <v>49</v>
      </c>
      <c r="BM88" s="26" t="s">
        <v>69</v>
      </c>
      <c r="BN88" s="26" t="s">
        <v>70</v>
      </c>
      <c r="BO88" s="26" t="s">
        <v>71</v>
      </c>
      <c r="BP88" s="26" t="s">
        <v>72</v>
      </c>
      <c r="BQ88" s="26" t="s">
        <v>73</v>
      </c>
      <c r="BR88" s="27"/>
      <c r="BS88" s="18" t="s">
        <v>74</v>
      </c>
      <c r="BT88" s="18" t="s">
        <v>75</v>
      </c>
      <c r="BU88" s="486" t="s">
        <v>229</v>
      </c>
      <c r="BV88" s="486" t="s">
        <v>230</v>
      </c>
      <c r="BW88" s="486" t="s">
        <v>231</v>
      </c>
    </row>
    <row r="89" spans="1:75">
      <c r="B89" s="583" t="s">
        <v>434</v>
      </c>
      <c r="C89" s="29">
        <v>217</v>
      </c>
      <c r="D89" s="30">
        <f>E89-C89</f>
        <v>1985</v>
      </c>
      <c r="E89" s="31">
        <v>2202</v>
      </c>
      <c r="F89" s="29">
        <v>269</v>
      </c>
      <c r="G89" s="30">
        <f>H89-F89</f>
        <v>1930</v>
      </c>
      <c r="H89" s="31">
        <v>2199</v>
      </c>
      <c r="I89" s="32"/>
      <c r="K89" s="33">
        <f>(C89/E89)/(F89/H89)</f>
        <v>0.80559241514135504</v>
      </c>
      <c r="L89" s="34">
        <f>(D89/(C89*E89)+(G89/(F89*H89)))</f>
        <v>7.4168822830407606E-3</v>
      </c>
      <c r="M89" s="35">
        <f>1/L89</f>
        <v>134.82754098532379</v>
      </c>
      <c r="N89" s="36">
        <f>LN(K89)</f>
        <v>-0.21617735278924372</v>
      </c>
      <c r="O89" s="36">
        <f>M89*N89</f>
        <v>-29.146660893290559</v>
      </c>
      <c r="P89" s="36">
        <f>LN(K89)</f>
        <v>-0.21617735278924372</v>
      </c>
      <c r="Q89" s="37">
        <f>K89</f>
        <v>0.80559241514135504</v>
      </c>
      <c r="R89" s="38">
        <f>SQRT(1/M89)</f>
        <v>8.6121323045113288E-2</v>
      </c>
      <c r="S89" s="39">
        <f>$H$2</f>
        <v>1.9599639845400536</v>
      </c>
      <c r="T89" s="40">
        <f>P89-(R89*S89)</f>
        <v>-0.3849720442586051</v>
      </c>
      <c r="U89" s="40">
        <f>P89+(R89*S89)</f>
        <v>-4.7382661319882335E-2</v>
      </c>
      <c r="V89" s="41">
        <f>EXP(T89)</f>
        <v>0.68046965897250189</v>
      </c>
      <c r="W89" s="42">
        <f>EXP(U89)</f>
        <v>0.95372237509197577</v>
      </c>
      <c r="X89" s="43"/>
      <c r="Y89" s="591"/>
      <c r="Z89" s="592">
        <f>(N89-P91)^2</f>
        <v>5.1560360214007099E-4</v>
      </c>
      <c r="AA89" s="593">
        <f>M89*Z89</f>
        <v>6.9517565799721001E-2</v>
      </c>
      <c r="AB89" s="594">
        <v>1</v>
      </c>
      <c r="AC89" s="595"/>
      <c r="AD89" s="595"/>
      <c r="AE89" s="596">
        <f>M89^2</f>
        <v>18178.465808149169</v>
      </c>
      <c r="AF89" s="597"/>
      <c r="AG89" s="598">
        <f>AG91</f>
        <v>-5.4089664602708374E-3</v>
      </c>
      <c r="AH89" s="598" t="str">
        <f>AH91</f>
        <v>0</v>
      </c>
      <c r="AI89" s="593">
        <f>1/M89</f>
        <v>7.4168822830407606E-3</v>
      </c>
      <c r="AJ89" s="599">
        <f>1/(AH89+AI89)</f>
        <v>134.82754098532379</v>
      </c>
      <c r="AK89" s="600">
        <f>AJ89/AJ91</f>
        <v>0.39289726141193854</v>
      </c>
      <c r="AL89" s="601">
        <f>AJ89*N89</f>
        <v>-29.146660893290559</v>
      </c>
      <c r="AM89" s="601">
        <f>AL89/AJ89</f>
        <v>-0.21617735278924372</v>
      </c>
      <c r="AN89" s="602">
        <f>EXP(AM89)</f>
        <v>0.80559241514135504</v>
      </c>
      <c r="AO89" s="603">
        <f>1/AJ89</f>
        <v>7.4168822830407606E-3</v>
      </c>
      <c r="AP89" s="604">
        <f>SQRT(AO89)</f>
        <v>8.6121323045113288E-2</v>
      </c>
      <c r="AQ89" s="605">
        <f>$H$2</f>
        <v>1.9599639845400536</v>
      </c>
      <c r="AR89" s="606">
        <f>AM89-(AQ89*AP89)</f>
        <v>-0.3849720442586051</v>
      </c>
      <c r="AS89" s="606">
        <f>AM89+(1.96*AP89)</f>
        <v>-4.7379559620821687E-2</v>
      </c>
      <c r="AT89" s="607">
        <f>EXP(AR89)</f>
        <v>0.68046965897250189</v>
      </c>
      <c r="AU89" s="607">
        <f>EXP(AS89)</f>
        <v>0.95372533325635844</v>
      </c>
      <c r="AV89" s="16"/>
      <c r="AX89" s="53"/>
      <c r="AY89" s="53">
        <v>1</v>
      </c>
      <c r="AZ89" s="54"/>
      <c r="BA89" s="54"/>
      <c r="BC89" s="27"/>
      <c r="BD89" s="27"/>
      <c r="BE89" s="2"/>
      <c r="BF89" s="2"/>
      <c r="BG89" s="2"/>
      <c r="BH89" s="2"/>
      <c r="BI89" s="2"/>
      <c r="BJ89" s="2"/>
      <c r="BK89" s="2"/>
      <c r="BL89" s="2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</row>
    <row r="90" spans="1:75">
      <c r="B90" s="583" t="s">
        <v>436</v>
      </c>
      <c r="C90" s="29">
        <v>343</v>
      </c>
      <c r="D90" s="30">
        <f>E90-C90</f>
        <v>4949</v>
      </c>
      <c r="E90" s="31">
        <v>5292</v>
      </c>
      <c r="F90" s="29">
        <v>442</v>
      </c>
      <c r="G90" s="30">
        <f>H90-F90</f>
        <v>4850</v>
      </c>
      <c r="H90" s="31">
        <v>5292</v>
      </c>
      <c r="I90" s="32"/>
      <c r="K90" s="33">
        <f t="shared" ref="K90" si="220">(C90/E90)/(F90/H90)</f>
        <v>0.77601809954751122</v>
      </c>
      <c r="L90" s="34">
        <f t="shared" ref="L90" si="221">(D90/(C90*E90)+(G90/(F90*H90)))</f>
        <v>4.7999663846002381E-3</v>
      </c>
      <c r="M90" s="35">
        <f t="shared" ref="M90" si="222">1/L90</f>
        <v>208.33479234527687</v>
      </c>
      <c r="N90" s="36">
        <f t="shared" ref="N90" si="223">LN(K90)</f>
        <v>-0.25357943491175833</v>
      </c>
      <c r="O90" s="36">
        <f t="shared" ref="O90" si="224">M90*N90</f>
        <v>-52.829418915373822</v>
      </c>
      <c r="P90" s="36">
        <f t="shared" ref="P90" si="225">LN(K90)</f>
        <v>-0.25357943491175833</v>
      </c>
      <c r="Q90" s="37">
        <f t="shared" ref="Q90" si="226">K90</f>
        <v>0.77601809954751122</v>
      </c>
      <c r="R90" s="38">
        <f t="shared" ref="R90" si="227">SQRT(1/M90)</f>
        <v>6.9281789704079083E-2</v>
      </c>
      <c r="S90" s="39">
        <f t="shared" ref="S90:S91" si="228">$H$2</f>
        <v>1.9599639845400536</v>
      </c>
      <c r="T90" s="40">
        <f t="shared" ref="T90" si="229">P90-(R90*S90)</f>
        <v>-0.38936924751623125</v>
      </c>
      <c r="U90" s="40">
        <f t="shared" ref="U90" si="230">P90+(R90*S90)</f>
        <v>-0.11778962230728543</v>
      </c>
      <c r="V90" s="41">
        <f t="shared" ref="V90:W90" si="231">EXP(T90)</f>
        <v>0.67748406451482601</v>
      </c>
      <c r="W90" s="42">
        <f t="shared" si="231"/>
        <v>0.88888303410736891</v>
      </c>
      <c r="X90" s="43"/>
      <c r="Y90" s="591"/>
      <c r="Z90" s="592">
        <f>(N90-P91)^2</f>
        <v>2.1594818700346565E-4</v>
      </c>
      <c r="AA90" s="593">
        <f t="shared" ref="AA90" si="232">M90*Z90</f>
        <v>4.4989520696706031E-2</v>
      </c>
      <c r="AB90" s="594">
        <v>1</v>
      </c>
      <c r="AC90" s="595"/>
      <c r="AD90" s="595"/>
      <c r="AE90" s="596">
        <f t="shared" ref="AE90" si="233">M90^2</f>
        <v>43403.385701549632</v>
      </c>
      <c r="AF90" s="597"/>
      <c r="AG90" s="598">
        <f>AG91</f>
        <v>-5.4089664602708374E-3</v>
      </c>
      <c r="AH90" s="598" t="str">
        <f>AH91</f>
        <v>0</v>
      </c>
      <c r="AI90" s="593">
        <f t="shared" ref="AI90" si="234">1/M90</f>
        <v>4.7999663846002381E-3</v>
      </c>
      <c r="AJ90" s="599">
        <f t="shared" ref="AJ90" si="235">1/(AH90+AI90)</f>
        <v>208.33479234527687</v>
      </c>
      <c r="AK90" s="600">
        <f>AJ90/AJ91</f>
        <v>0.60710273858806152</v>
      </c>
      <c r="AL90" s="601">
        <f t="shared" ref="AL90" si="236">AJ90*N90</f>
        <v>-52.829418915373822</v>
      </c>
      <c r="AM90" s="601">
        <f t="shared" ref="AM90" si="237">AL90/AJ90</f>
        <v>-0.25357943491175833</v>
      </c>
      <c r="AN90" s="602">
        <f t="shared" ref="AN90" si="238">EXP(AM90)</f>
        <v>0.77601809954751122</v>
      </c>
      <c r="AO90" s="603">
        <f t="shared" ref="AO90" si="239">1/AJ90</f>
        <v>4.7999663846002381E-3</v>
      </c>
      <c r="AP90" s="604">
        <f t="shared" ref="AP90" si="240">SQRT(AO90)</f>
        <v>6.9281789704079083E-2</v>
      </c>
      <c r="AQ90" s="605">
        <f t="shared" ref="AQ90:AQ91" si="241">$H$2</f>
        <v>1.9599639845400536</v>
      </c>
      <c r="AR90" s="606">
        <f t="shared" ref="AR90" si="242">AM90-(AQ90*AP90)</f>
        <v>-0.38936924751623125</v>
      </c>
      <c r="AS90" s="606">
        <f t="shared" ref="AS90" si="243">AM90+(1.96*AP90)</f>
        <v>-0.11778712709176334</v>
      </c>
      <c r="AT90" s="607">
        <f t="shared" ref="AT90:AU90" si="244">EXP(AR90)</f>
        <v>0.67748406451482601</v>
      </c>
      <c r="AU90" s="607">
        <f t="shared" si="244"/>
        <v>0.88888525206488</v>
      </c>
      <c r="AV90" s="16"/>
      <c r="AX90" s="53"/>
      <c r="AY90" s="53">
        <v>1</v>
      </c>
      <c r="AZ90" s="54"/>
      <c r="BA90" s="54"/>
      <c r="BC90" s="27"/>
      <c r="BD90" s="27"/>
      <c r="BE90" s="2"/>
      <c r="BF90" s="2"/>
      <c r="BG90" s="2"/>
      <c r="BH90" s="2"/>
      <c r="BI90" s="2"/>
      <c r="BJ90" s="2"/>
      <c r="BK90" s="2"/>
      <c r="BL90" s="2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</row>
    <row r="91" spans="1:75">
      <c r="B91" s="55">
        <f>COUNT(D89:D90)</f>
        <v>2</v>
      </c>
      <c r="C91" s="56">
        <f t="shared" ref="C91:H91" si="245">SUM(C89:C90)</f>
        <v>560</v>
      </c>
      <c r="D91" s="56">
        <f t="shared" si="245"/>
        <v>6934</v>
      </c>
      <c r="E91" s="56">
        <f t="shared" si="245"/>
        <v>7494</v>
      </c>
      <c r="F91" s="56">
        <f t="shared" si="245"/>
        <v>711</v>
      </c>
      <c r="G91" s="56">
        <f t="shared" si="245"/>
        <v>6780</v>
      </c>
      <c r="H91" s="56">
        <f t="shared" si="245"/>
        <v>7491</v>
      </c>
      <c r="I91" s="57"/>
      <c r="K91" s="58"/>
      <c r="L91" s="112"/>
      <c r="M91" s="60">
        <f>SUM(M89:M90)</f>
        <v>343.16233333060063</v>
      </c>
      <c r="N91" s="61"/>
      <c r="O91" s="62">
        <f>SUM(O89:O90)</f>
        <v>-81.97607980866438</v>
      </c>
      <c r="P91" s="63">
        <f>O91/M91</f>
        <v>-0.23888425927471793</v>
      </c>
      <c r="Q91" s="488">
        <f>EXP(P91)</f>
        <v>0.78750602361654676</v>
      </c>
      <c r="R91" s="488">
        <f>SQRT(1/M91)</f>
        <v>5.3982152024733519E-2</v>
      </c>
      <c r="S91" s="489">
        <f t="shared" si="228"/>
        <v>1.9599639845400536</v>
      </c>
      <c r="T91" s="490">
        <f>P91-(R91*S91)</f>
        <v>-0.34468733305116156</v>
      </c>
      <c r="U91" s="490">
        <f>P91+(R91*S91)</f>
        <v>-0.1330811854982743</v>
      </c>
      <c r="V91" s="491">
        <f>EXP(T91)</f>
        <v>0.70844182518646304</v>
      </c>
      <c r="W91" s="492">
        <f>EXP(U91)</f>
        <v>0.87539401992410093</v>
      </c>
      <c r="X91" s="65"/>
      <c r="Y91" s="608"/>
      <c r="Z91" s="609"/>
      <c r="AA91" s="610">
        <f>SUM(AA89:AA90)</f>
        <v>0.11450708649642703</v>
      </c>
      <c r="AB91" s="611">
        <f>SUM(AB89:AB90)</f>
        <v>2</v>
      </c>
      <c r="AC91" s="612">
        <f>AA91-(AB91-1)</f>
        <v>-0.88549291350357295</v>
      </c>
      <c r="AD91" s="613">
        <f>M91</f>
        <v>343.16233333060063</v>
      </c>
      <c r="AE91" s="613">
        <f>SUM(AE89:AE90)</f>
        <v>61581.851509698798</v>
      </c>
      <c r="AF91" s="614">
        <f>AE91/AD91</f>
        <v>179.45399459203233</v>
      </c>
      <c r="AG91" s="615">
        <f>AC91/(AD91-AF91)</f>
        <v>-5.4089664602708374E-3</v>
      </c>
      <c r="AH91" s="615" t="str">
        <f>IF(AA91&lt;AB91-1,"0",AG91)</f>
        <v>0</v>
      </c>
      <c r="AI91" s="609"/>
      <c r="AJ91" s="613">
        <f>SUM(AJ89:AJ90)</f>
        <v>343.16233333060063</v>
      </c>
      <c r="AK91" s="616">
        <f>SUM(AK89:AK90)</f>
        <v>1</v>
      </c>
      <c r="AL91" s="612">
        <f>SUM(AL89:AL90)</f>
        <v>-81.97607980866438</v>
      </c>
      <c r="AM91" s="612">
        <f>AL91/AJ91</f>
        <v>-0.23888425927471793</v>
      </c>
      <c r="AN91" s="617">
        <f>EXP(AM91)</f>
        <v>0.78750602361654676</v>
      </c>
      <c r="AO91" s="618">
        <f>1/AJ91</f>
        <v>2.9140727372214412E-3</v>
      </c>
      <c r="AP91" s="619">
        <f>SQRT(AO91)</f>
        <v>5.3982152024733519E-2</v>
      </c>
      <c r="AQ91" s="605">
        <f t="shared" si="241"/>
        <v>1.9599639845400536</v>
      </c>
      <c r="AR91" s="620">
        <f>AM91-(AQ91*AP91)</f>
        <v>-0.34468733305116156</v>
      </c>
      <c r="AS91" s="620">
        <f>AM91+(1.96*AP91)</f>
        <v>-0.13307924130624021</v>
      </c>
      <c r="AT91" s="621">
        <f>EXP(AR91)</f>
        <v>0.70844182518646304</v>
      </c>
      <c r="AU91" s="621">
        <f>EXP(AS91)</f>
        <v>0.87539572185983561</v>
      </c>
      <c r="AV91" s="75"/>
      <c r="AW91" s="76"/>
      <c r="AX91" s="77">
        <f>AA91</f>
        <v>0.11450708649642703</v>
      </c>
      <c r="AY91" s="55">
        <f>SUM(AY89:AY90)</f>
        <v>2</v>
      </c>
      <c r="AZ91" s="78">
        <f>(AX91-(AY91-1))/AX91</f>
        <v>-7.7330839566091223</v>
      </c>
      <c r="BA91" s="79" t="str">
        <f>IF(AA91&lt;AB91-1,"0%",AZ91)</f>
        <v>0%</v>
      </c>
      <c r="BB91" s="76"/>
      <c r="BC91" s="62">
        <f>AX91/(AY91-1)</f>
        <v>0.11450708649642703</v>
      </c>
      <c r="BD91" s="80">
        <f>LN(BC91)</f>
        <v>-2.1671185671045099</v>
      </c>
      <c r="BE91" s="62">
        <f>LN(AX91)</f>
        <v>-2.1671185671045099</v>
      </c>
      <c r="BF91" s="62">
        <f>LN(AY91-1)</f>
        <v>0</v>
      </c>
      <c r="BG91" s="62">
        <f>SQRT(2*AX91)</f>
        <v>0.47855425292526038</v>
      </c>
      <c r="BH91" s="62">
        <f>SQRT(2*AY91-3)</f>
        <v>1</v>
      </c>
      <c r="BI91" s="62">
        <f>2*(AY91-2)</f>
        <v>0</v>
      </c>
      <c r="BJ91" s="62">
        <f>3*(AY91-2)^2</f>
        <v>0</v>
      </c>
      <c r="BK91" s="62" t="e">
        <f>1/BI91</f>
        <v>#DIV/0!</v>
      </c>
      <c r="BL91" s="81" t="e">
        <f>1/BJ91</f>
        <v>#DIV/0!</v>
      </c>
      <c r="BM91" s="81" t="e">
        <f>SQRT(BK91*(1-BL91))</f>
        <v>#DIV/0!</v>
      </c>
      <c r="BN91" s="82">
        <f>0.5*(BE91-BF91)/(BG91-BH91)</f>
        <v>2.0779904517985202</v>
      </c>
      <c r="BO91" s="82" t="e">
        <f>IF(AA91&lt;=AB91,BM91,BN91)</f>
        <v>#DIV/0!</v>
      </c>
      <c r="BP91" s="69" t="e">
        <f>BD91-(1.96*BO91)</f>
        <v>#DIV/0!</v>
      </c>
      <c r="BQ91" s="69" t="e">
        <f>BD91+(1.96*BO91)</f>
        <v>#DIV/0!</v>
      </c>
      <c r="BR91" s="69"/>
      <c r="BS91" s="80" t="e">
        <f>EXP(BP91)</f>
        <v>#DIV/0!</v>
      </c>
      <c r="BT91" s="80" t="e">
        <f>EXP(BQ91)</f>
        <v>#DIV/0!</v>
      </c>
      <c r="BU91" s="83" t="str">
        <f>BA91</f>
        <v>0%</v>
      </c>
      <c r="BV91" s="83" t="e">
        <f>(BS91-1)/BS91</f>
        <v>#DIV/0!</v>
      </c>
      <c r="BW91" s="83" t="e">
        <f>(BT91-1)/BT91</f>
        <v>#DIV/0!</v>
      </c>
    </row>
    <row r="92" spans="1:75" ht="13.5" thickBot="1">
      <c r="C92" s="84"/>
      <c r="D92" s="84"/>
      <c r="E92" s="84"/>
      <c r="F92" s="84"/>
      <c r="G92" s="84"/>
      <c r="H92" s="84"/>
      <c r="I92" s="85"/>
      <c r="R92" s="86"/>
      <c r="S92" s="86"/>
      <c r="T92" s="86"/>
      <c r="U92" s="86"/>
      <c r="V92" s="86"/>
      <c r="W92" s="86"/>
      <c r="X92" s="86"/>
      <c r="Y92" s="591"/>
      <c r="Z92" s="591"/>
      <c r="AA92" s="591"/>
      <c r="AB92" s="584"/>
      <c r="AC92" s="622"/>
      <c r="AD92" s="623"/>
      <c r="AE92" s="622"/>
      <c r="AF92" s="624"/>
      <c r="AG92" s="624"/>
      <c r="AH92" s="624"/>
      <c r="AI92" s="624"/>
      <c r="AJ92" s="591"/>
      <c r="AK92" s="591"/>
      <c r="AL92" s="591"/>
      <c r="AM92" s="591"/>
      <c r="AN92" s="591"/>
      <c r="AO92" s="591"/>
      <c r="AP92" s="591"/>
      <c r="AQ92" s="591"/>
      <c r="AR92" s="591"/>
      <c r="AS92" s="591"/>
      <c r="AT92" s="625"/>
      <c r="AU92" s="625"/>
      <c r="AV92" s="91"/>
      <c r="AX92" s="5" t="s">
        <v>59</v>
      </c>
      <c r="BG92" s="10"/>
      <c r="BN92" s="88" t="s">
        <v>60</v>
      </c>
      <c r="BT92" s="92" t="s">
        <v>61</v>
      </c>
      <c r="BU92" s="495" t="str">
        <f>BU91</f>
        <v>0%</v>
      </c>
      <c r="BV92" s="495" t="e">
        <f>IF(BV91&lt;0,"0%",BV91)</f>
        <v>#DIV/0!</v>
      </c>
      <c r="BW92" s="496" t="e">
        <f>IF(BW91&lt;0,"0%",BW91)</f>
        <v>#DIV/0!</v>
      </c>
    </row>
    <row r="93" spans="1:75" ht="26.5" thickBot="1">
      <c r="D93" s="93"/>
      <c r="E93" s="93"/>
      <c r="F93" s="93"/>
      <c r="G93" s="93"/>
      <c r="H93" s="93"/>
      <c r="I93" s="94"/>
      <c r="J93" s="5"/>
      <c r="K93" s="5"/>
      <c r="R93" s="95"/>
      <c r="S93" s="95"/>
      <c r="T93" s="95"/>
      <c r="U93" s="95"/>
      <c r="V93" s="95"/>
      <c r="W93" s="95"/>
      <c r="X93" s="95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626"/>
      <c r="AJ93" s="627"/>
      <c r="AK93" s="627"/>
      <c r="AL93" s="628"/>
      <c r="AM93" s="629"/>
      <c r="AN93" s="591"/>
      <c r="AO93" s="630" t="s">
        <v>394</v>
      </c>
      <c r="AP93" s="631" t="e">
        <f>TINV((1-$H$1),(AB91-2))</f>
        <v>#NUM!</v>
      </c>
      <c r="AQ93" s="591"/>
      <c r="AR93" s="632" t="s">
        <v>63</v>
      </c>
      <c r="AS93" s="633">
        <f>$H$1</f>
        <v>0.95</v>
      </c>
      <c r="AT93" s="634" t="e">
        <f>EXP(AM91-AP93*SQRT((1/AD91)+AH91))</f>
        <v>#NUM!</v>
      </c>
      <c r="AU93" s="634" t="e">
        <f>EXP(AM91+AP93*SQRT((1/AD91)+AH91))</f>
        <v>#NUM!</v>
      </c>
      <c r="AV93" s="16"/>
      <c r="AX93" s="102">
        <f>_xlfn.CHISQ.DIST.RT(AX91,AY91-1)</f>
        <v>0.73507009455051997</v>
      </c>
      <c r="AY93" s="103" t="str">
        <f>IF(AX93&lt;0.05,"heterogeneidad","homogeneidad")</f>
        <v>homogeneidad</v>
      </c>
      <c r="BF93" s="104"/>
      <c r="BG93" s="10"/>
      <c r="BH93" s="10"/>
      <c r="BJ93" s="43"/>
      <c r="BL93" s="10"/>
      <c r="BM93" s="105"/>
      <c r="BQ93" s="10"/>
    </row>
    <row r="94" spans="1:75" ht="14.5">
      <c r="B94" s="5"/>
      <c r="C94" s="93"/>
      <c r="D94" s="93"/>
      <c r="E94" s="93"/>
      <c r="F94" s="93"/>
      <c r="G94" s="93"/>
      <c r="H94" s="93"/>
      <c r="I94" s="94"/>
      <c r="J94" s="5"/>
      <c r="K94" s="5"/>
      <c r="R94" s="95"/>
      <c r="S94" s="95"/>
      <c r="T94" s="95"/>
      <c r="U94" s="95"/>
      <c r="V94" s="95"/>
      <c r="W94" s="95"/>
      <c r="X94" s="95"/>
      <c r="AF94" s="1"/>
      <c r="AI94" s="10"/>
      <c r="AJ94" s="96"/>
      <c r="AK94" s="96"/>
      <c r="AL94" s="97"/>
      <c r="AM94" s="98"/>
      <c r="AN94" s="106"/>
      <c r="AO94" s="107"/>
      <c r="AP94" s="13"/>
      <c r="AS94" s="108"/>
      <c r="AT94" s="16"/>
      <c r="AU94" s="16"/>
      <c r="AV94" s="16"/>
      <c r="BF94" s="104"/>
      <c r="BG94" s="10"/>
      <c r="BH94" s="10"/>
      <c r="BJ94" s="43"/>
      <c r="BL94" s="10"/>
      <c r="BM94" s="109"/>
      <c r="BQ94" s="10"/>
    </row>
    <row r="95" spans="1:75" ht="13" hidden="1" customHeight="1">
      <c r="C95" s="84"/>
      <c r="D95" s="84"/>
      <c r="E95" s="84"/>
      <c r="F95" s="84"/>
      <c r="G95" s="84"/>
      <c r="H95" s="84"/>
      <c r="I95" s="85"/>
      <c r="J95" s="668" t="s">
        <v>4</v>
      </c>
      <c r="K95" s="669"/>
      <c r="L95" s="669"/>
      <c r="M95" s="669"/>
      <c r="N95" s="669"/>
      <c r="O95" s="669"/>
      <c r="P95" s="669"/>
      <c r="Q95" s="669"/>
      <c r="R95" s="669"/>
      <c r="S95" s="669"/>
      <c r="T95" s="669"/>
      <c r="U95" s="669"/>
      <c r="V95" s="669"/>
      <c r="W95" s="670"/>
      <c r="X95" s="11"/>
      <c r="Y95" s="668" t="s">
        <v>5</v>
      </c>
      <c r="Z95" s="669"/>
      <c r="AA95" s="669"/>
      <c r="AB95" s="669"/>
      <c r="AC95" s="669"/>
      <c r="AD95" s="669"/>
      <c r="AE95" s="669"/>
      <c r="AF95" s="669"/>
      <c r="AG95" s="669"/>
      <c r="AH95" s="669"/>
      <c r="AI95" s="669"/>
      <c r="AJ95" s="669"/>
      <c r="AK95" s="669"/>
      <c r="AL95" s="669"/>
      <c r="AM95" s="669"/>
      <c r="AN95" s="669"/>
      <c r="AO95" s="669"/>
      <c r="AP95" s="669"/>
      <c r="AQ95" s="669"/>
      <c r="AR95" s="669"/>
      <c r="AS95" s="669"/>
      <c r="AT95" s="669"/>
      <c r="AU95" s="670"/>
      <c r="AV95" s="11"/>
      <c r="AW95" s="668" t="s">
        <v>232</v>
      </c>
      <c r="AX95" s="669"/>
      <c r="AY95" s="669"/>
      <c r="AZ95" s="669"/>
      <c r="BA95" s="669"/>
      <c r="BB95" s="669"/>
      <c r="BC95" s="669"/>
      <c r="BD95" s="669"/>
      <c r="BE95" s="669"/>
      <c r="BF95" s="669"/>
      <c r="BG95" s="669"/>
      <c r="BH95" s="669"/>
      <c r="BI95" s="669"/>
      <c r="BJ95" s="669"/>
      <c r="BK95" s="669"/>
      <c r="BL95" s="669"/>
      <c r="BM95" s="669"/>
      <c r="BN95" s="669"/>
      <c r="BO95" s="669"/>
      <c r="BP95" s="669"/>
      <c r="BQ95" s="669"/>
      <c r="BR95" s="669"/>
      <c r="BS95" s="669"/>
      <c r="BT95" s="669"/>
      <c r="BU95" s="669"/>
      <c r="BV95" s="669"/>
      <c r="BW95" s="670"/>
    </row>
    <row r="96" spans="1:75" hidden="1">
      <c r="B96" s="12" t="s">
        <v>6</v>
      </c>
      <c r="C96" s="677" t="s">
        <v>7</v>
      </c>
      <c r="D96" s="677"/>
      <c r="E96" s="677"/>
      <c r="F96" s="677" t="s">
        <v>8</v>
      </c>
      <c r="G96" s="677"/>
      <c r="H96" s="677"/>
      <c r="I96" s="13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</row>
    <row r="97" spans="2:75" ht="60" hidden="1">
      <c r="B97" s="503"/>
      <c r="C97" s="15" t="s">
        <v>9</v>
      </c>
      <c r="D97" s="15" t="s">
        <v>10</v>
      </c>
      <c r="E97" s="15" t="s">
        <v>11</v>
      </c>
      <c r="F97" s="15" t="s">
        <v>9</v>
      </c>
      <c r="G97" s="15" t="s">
        <v>10</v>
      </c>
      <c r="H97" s="15" t="s">
        <v>11</v>
      </c>
      <c r="I97" s="16"/>
      <c r="K97" s="17" t="s">
        <v>12</v>
      </c>
      <c r="L97" s="17" t="s">
        <v>13</v>
      </c>
      <c r="M97" s="17" t="s">
        <v>14</v>
      </c>
      <c r="N97" s="18" t="s">
        <v>15</v>
      </c>
      <c r="O97" s="18" t="s">
        <v>16</v>
      </c>
      <c r="P97" s="18" t="s">
        <v>17</v>
      </c>
      <c r="Q97" s="486" t="s">
        <v>18</v>
      </c>
      <c r="R97" s="486" t="s">
        <v>19</v>
      </c>
      <c r="S97" s="487" t="s">
        <v>3</v>
      </c>
      <c r="T97" s="486" t="s">
        <v>20</v>
      </c>
      <c r="U97" s="486" t="s">
        <v>21</v>
      </c>
      <c r="V97" s="486" t="s">
        <v>22</v>
      </c>
      <c r="W97" s="486" t="s">
        <v>22</v>
      </c>
      <c r="X97" s="19"/>
      <c r="Y97" s="20"/>
      <c r="Z97" s="21" t="s">
        <v>23</v>
      </c>
      <c r="AA97" s="18" t="s">
        <v>24</v>
      </c>
      <c r="AB97" s="3" t="s">
        <v>25</v>
      </c>
      <c r="AC97" s="3" t="s">
        <v>26</v>
      </c>
      <c r="AD97" s="3" t="s">
        <v>27</v>
      </c>
      <c r="AE97" s="18" t="s">
        <v>28</v>
      </c>
      <c r="AF97" s="18" t="s">
        <v>29</v>
      </c>
      <c r="AG97" s="22" t="s">
        <v>30</v>
      </c>
      <c r="AH97" s="22" t="s">
        <v>31</v>
      </c>
      <c r="AI97" s="3" t="s">
        <v>32</v>
      </c>
      <c r="AJ97" s="18" t="s">
        <v>33</v>
      </c>
      <c r="AK97" s="18" t="s">
        <v>34</v>
      </c>
      <c r="AL97" s="18" t="s">
        <v>35</v>
      </c>
      <c r="AM97" s="3" t="s">
        <v>36</v>
      </c>
      <c r="AN97" s="487" t="s">
        <v>37</v>
      </c>
      <c r="AO97" s="18" t="s">
        <v>38</v>
      </c>
      <c r="AP97" s="18" t="s">
        <v>39</v>
      </c>
      <c r="AQ97" s="3" t="s">
        <v>3</v>
      </c>
      <c r="AR97" s="18" t="s">
        <v>40</v>
      </c>
      <c r="AS97" s="18" t="s">
        <v>41</v>
      </c>
      <c r="AT97" s="486" t="s">
        <v>22</v>
      </c>
      <c r="AU97" s="486" t="s">
        <v>22</v>
      </c>
      <c r="AV97" s="19"/>
      <c r="AX97" s="23" t="s">
        <v>42</v>
      </c>
      <c r="AY97" s="23" t="s">
        <v>25</v>
      </c>
      <c r="AZ97" s="24" t="s">
        <v>64</v>
      </c>
      <c r="BA97" s="25" t="s">
        <v>65</v>
      </c>
      <c r="BC97" s="3" t="s">
        <v>66</v>
      </c>
      <c r="BD97" s="3" t="s">
        <v>67</v>
      </c>
      <c r="BE97" s="3" t="s">
        <v>43</v>
      </c>
      <c r="BF97" s="3" t="s">
        <v>44</v>
      </c>
      <c r="BG97" s="3" t="s">
        <v>45</v>
      </c>
      <c r="BH97" s="3" t="s">
        <v>46</v>
      </c>
      <c r="BI97" s="3" t="s">
        <v>47</v>
      </c>
      <c r="BJ97" s="3" t="s">
        <v>68</v>
      </c>
      <c r="BK97" s="3" t="s">
        <v>48</v>
      </c>
      <c r="BL97" s="3" t="s">
        <v>49</v>
      </c>
      <c r="BM97" s="26" t="s">
        <v>69</v>
      </c>
      <c r="BN97" s="26" t="s">
        <v>70</v>
      </c>
      <c r="BO97" s="26" t="s">
        <v>71</v>
      </c>
      <c r="BP97" s="26" t="s">
        <v>72</v>
      </c>
      <c r="BQ97" s="26" t="s">
        <v>73</v>
      </c>
      <c r="BR97" s="27"/>
      <c r="BS97" s="18" t="s">
        <v>74</v>
      </c>
      <c r="BT97" s="18" t="s">
        <v>75</v>
      </c>
      <c r="BU97" s="486" t="s">
        <v>229</v>
      </c>
      <c r="BV97" s="486" t="s">
        <v>230</v>
      </c>
      <c r="BW97" s="486" t="s">
        <v>231</v>
      </c>
    </row>
    <row r="98" spans="2:75" hidden="1">
      <c r="B98" s="28" t="s">
        <v>50</v>
      </c>
      <c r="C98" s="29"/>
      <c r="D98" s="30">
        <f>E98-C98</f>
        <v>0</v>
      </c>
      <c r="E98" s="31"/>
      <c r="F98" s="29"/>
      <c r="G98" s="30">
        <f>H98-F98</f>
        <v>0</v>
      </c>
      <c r="H98" s="31"/>
      <c r="I98" s="32"/>
      <c r="K98" s="33" t="e">
        <f>(C98/E98)/(F98/H98)</f>
        <v>#DIV/0!</v>
      </c>
      <c r="L98" s="34" t="e">
        <f>(D98/(C98*E98)+(G98/(F98*H98)))</f>
        <v>#DIV/0!</v>
      </c>
      <c r="M98" s="35" t="e">
        <f>1/L98</f>
        <v>#DIV/0!</v>
      </c>
      <c r="N98" s="36" t="e">
        <f>LN(K98)</f>
        <v>#DIV/0!</v>
      </c>
      <c r="O98" s="36" t="e">
        <f>M98*N98</f>
        <v>#DIV/0!</v>
      </c>
      <c r="P98" s="36" t="e">
        <f>LN(K98)</f>
        <v>#DIV/0!</v>
      </c>
      <c r="Q98" s="110" t="e">
        <f>K98</f>
        <v>#DIV/0!</v>
      </c>
      <c r="R98" s="38" t="e">
        <f>SQRT(1/M98)</f>
        <v>#DIV/0!</v>
      </c>
      <c r="S98" s="39">
        <f>$H$2</f>
        <v>1.9599639845400536</v>
      </c>
      <c r="T98" s="40" t="e">
        <f>P98-(R98*S98)</f>
        <v>#DIV/0!</v>
      </c>
      <c r="U98" s="40" t="e">
        <f>P98+(R98*S98)</f>
        <v>#DIV/0!</v>
      </c>
      <c r="V98" s="41" t="e">
        <f>EXP(T98)</f>
        <v>#DIV/0!</v>
      </c>
      <c r="W98" s="42" t="e">
        <f>EXP(U98)</f>
        <v>#DIV/0!</v>
      </c>
      <c r="X98" s="43"/>
      <c r="Z98" s="44" t="e">
        <f>(N98-P101)^2</f>
        <v>#DIV/0!</v>
      </c>
      <c r="AA98" s="45" t="e">
        <f>M98*Z98</f>
        <v>#DIV/0!</v>
      </c>
      <c r="AB98" s="2">
        <v>1</v>
      </c>
      <c r="AC98" s="27"/>
      <c r="AD98" s="27"/>
      <c r="AE98" s="35" t="e">
        <f>M98^2</f>
        <v>#DIV/0!</v>
      </c>
      <c r="AF98" s="46"/>
      <c r="AG98" s="47" t="e">
        <f>AG101</f>
        <v>#DIV/0!</v>
      </c>
      <c r="AH98" s="47" t="e">
        <f>AH101</f>
        <v>#DIV/0!</v>
      </c>
      <c r="AI98" s="45" t="e">
        <f>1/M98</f>
        <v>#DIV/0!</v>
      </c>
      <c r="AJ98" s="48" t="e">
        <f>1/(AH98+AI98)</f>
        <v>#DIV/0!</v>
      </c>
      <c r="AK98" s="49" t="e">
        <f>AJ98/AJ101</f>
        <v>#DIV/0!</v>
      </c>
      <c r="AL98" s="50" t="e">
        <f>AJ98*N98</f>
        <v>#DIV/0!</v>
      </c>
      <c r="AM98" s="50" t="e">
        <f>AL98/AJ98</f>
        <v>#DIV/0!</v>
      </c>
      <c r="AN98" s="42" t="e">
        <f>EXP(AM98)</f>
        <v>#DIV/0!</v>
      </c>
      <c r="AO98" s="51" t="e">
        <f>1/AJ98</f>
        <v>#DIV/0!</v>
      </c>
      <c r="AP98" s="42" t="e">
        <f>SQRT(AO98)</f>
        <v>#DIV/0!</v>
      </c>
      <c r="AQ98" s="39">
        <f>$H$2</f>
        <v>1.9599639845400536</v>
      </c>
      <c r="AR98" s="40" t="e">
        <f>AM98-(AQ98*AP98)</f>
        <v>#DIV/0!</v>
      </c>
      <c r="AS98" s="40" t="e">
        <f>AM98+(1.96*AP98)</f>
        <v>#DIV/0!</v>
      </c>
      <c r="AT98" s="52" t="e">
        <f>EXP(AR98)</f>
        <v>#DIV/0!</v>
      </c>
      <c r="AU98" s="52" t="e">
        <f>EXP(AS98)</f>
        <v>#DIV/0!</v>
      </c>
      <c r="AV98" s="16"/>
      <c r="AX98" s="53"/>
      <c r="AY98" s="53">
        <v>1</v>
      </c>
      <c r="AZ98" s="54"/>
      <c r="BA98" s="54"/>
      <c r="BC98" s="27"/>
      <c r="BD98" s="27"/>
      <c r="BE98" s="2"/>
      <c r="BF98" s="2"/>
      <c r="BG98" s="2"/>
      <c r="BH98" s="2"/>
      <c r="BI98" s="2"/>
      <c r="BJ98" s="2"/>
      <c r="BK98" s="2"/>
      <c r="BL98" s="2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</row>
    <row r="99" spans="2:75" hidden="1">
      <c r="B99" s="28" t="s">
        <v>51</v>
      </c>
      <c r="C99" s="29"/>
      <c r="D99" s="30">
        <f t="shared" ref="D99:D100" si="246">E99-C99</f>
        <v>0</v>
      </c>
      <c r="E99" s="31"/>
      <c r="F99" s="29"/>
      <c r="G99" s="30">
        <f t="shared" ref="G99:G100" si="247">H99-F99</f>
        <v>0</v>
      </c>
      <c r="H99" s="31"/>
      <c r="I99" s="32"/>
      <c r="K99" s="33" t="e">
        <f t="shared" ref="K99:K100" si="248">(C99/E99)/(F99/H99)</f>
        <v>#DIV/0!</v>
      </c>
      <c r="L99" s="34" t="e">
        <f t="shared" ref="L99:L100" si="249">(D99/(C99*E99)+(G99/(F99*H99)))</f>
        <v>#DIV/0!</v>
      </c>
      <c r="M99" s="35" t="e">
        <f t="shared" ref="M99:M100" si="250">1/L99</f>
        <v>#DIV/0!</v>
      </c>
      <c r="N99" s="36" t="e">
        <f t="shared" ref="N99:N100" si="251">LN(K99)</f>
        <v>#DIV/0!</v>
      </c>
      <c r="O99" s="36" t="e">
        <f t="shared" ref="O99:O100" si="252">M99*N99</f>
        <v>#DIV/0!</v>
      </c>
      <c r="P99" s="36" t="e">
        <f t="shared" ref="P99:P100" si="253">LN(K99)</f>
        <v>#DIV/0!</v>
      </c>
      <c r="Q99" s="110" t="e">
        <f t="shared" ref="Q99:Q100" si="254">K99</f>
        <v>#DIV/0!</v>
      </c>
      <c r="R99" s="38" t="e">
        <f t="shared" ref="R99:R100" si="255">SQRT(1/M99)</f>
        <v>#DIV/0!</v>
      </c>
      <c r="S99" s="39">
        <f t="shared" ref="S99:S101" si="256">$H$2</f>
        <v>1.9599639845400536</v>
      </c>
      <c r="T99" s="40" t="e">
        <f t="shared" ref="T99:T100" si="257">P99-(R99*S99)</f>
        <v>#DIV/0!</v>
      </c>
      <c r="U99" s="40" t="e">
        <f t="shared" ref="U99:U100" si="258">P99+(R99*S99)</f>
        <v>#DIV/0!</v>
      </c>
      <c r="V99" s="41" t="e">
        <f t="shared" ref="V99:W100" si="259">EXP(T99)</f>
        <v>#DIV/0!</v>
      </c>
      <c r="W99" s="42" t="e">
        <f t="shared" si="259"/>
        <v>#DIV/0!</v>
      </c>
      <c r="X99" s="43"/>
      <c r="Z99" s="44" t="e">
        <f>(N99-P101)^2</f>
        <v>#DIV/0!</v>
      </c>
      <c r="AA99" s="45" t="e">
        <f t="shared" ref="AA99:AA100" si="260">M99*Z99</f>
        <v>#DIV/0!</v>
      </c>
      <c r="AB99" s="2">
        <v>1</v>
      </c>
      <c r="AC99" s="27"/>
      <c r="AD99" s="27"/>
      <c r="AE99" s="35" t="e">
        <f t="shared" ref="AE99:AE100" si="261">M99^2</f>
        <v>#DIV/0!</v>
      </c>
      <c r="AF99" s="46"/>
      <c r="AG99" s="47" t="e">
        <f>AG101</f>
        <v>#DIV/0!</v>
      </c>
      <c r="AH99" s="47" t="e">
        <f>AH101</f>
        <v>#DIV/0!</v>
      </c>
      <c r="AI99" s="45" t="e">
        <f t="shared" ref="AI99:AI100" si="262">1/M99</f>
        <v>#DIV/0!</v>
      </c>
      <c r="AJ99" s="48" t="e">
        <f t="shared" ref="AJ99:AJ100" si="263">1/(AH99+AI99)</f>
        <v>#DIV/0!</v>
      </c>
      <c r="AK99" s="49" t="e">
        <f>AJ99/AJ101</f>
        <v>#DIV/0!</v>
      </c>
      <c r="AL99" s="50" t="e">
        <f t="shared" ref="AL99:AL100" si="264">AJ99*N99</f>
        <v>#DIV/0!</v>
      </c>
      <c r="AM99" s="50" t="e">
        <f t="shared" ref="AM99:AM100" si="265">AL99/AJ99</f>
        <v>#DIV/0!</v>
      </c>
      <c r="AN99" s="42" t="e">
        <f t="shared" ref="AN99:AN100" si="266">EXP(AM99)</f>
        <v>#DIV/0!</v>
      </c>
      <c r="AO99" s="51" t="e">
        <f t="shared" ref="AO99:AO100" si="267">1/AJ99</f>
        <v>#DIV/0!</v>
      </c>
      <c r="AP99" s="42" t="e">
        <f t="shared" ref="AP99:AP100" si="268">SQRT(AO99)</f>
        <v>#DIV/0!</v>
      </c>
      <c r="AQ99" s="39">
        <f t="shared" ref="AQ99:AQ101" si="269">$H$2</f>
        <v>1.9599639845400536</v>
      </c>
      <c r="AR99" s="40" t="e">
        <f t="shared" ref="AR99:AR100" si="270">AM99-(AQ99*AP99)</f>
        <v>#DIV/0!</v>
      </c>
      <c r="AS99" s="40" t="e">
        <f t="shared" ref="AS99:AS100" si="271">AM99+(1.96*AP99)</f>
        <v>#DIV/0!</v>
      </c>
      <c r="AT99" s="52" t="e">
        <f t="shared" ref="AT99:AU100" si="272">EXP(AR99)</f>
        <v>#DIV/0!</v>
      </c>
      <c r="AU99" s="52" t="e">
        <f t="shared" si="272"/>
        <v>#DIV/0!</v>
      </c>
      <c r="AV99" s="16"/>
      <c r="AX99" s="53"/>
      <c r="AY99" s="53">
        <v>1</v>
      </c>
      <c r="AZ99" s="54"/>
      <c r="BA99" s="54"/>
      <c r="BC99" s="27"/>
      <c r="BD99" s="27"/>
      <c r="BE99" s="2"/>
      <c r="BF99" s="2"/>
      <c r="BG99" s="2"/>
      <c r="BH99" s="2"/>
      <c r="BI99" s="2"/>
      <c r="BJ99" s="2"/>
      <c r="BK99" s="2"/>
      <c r="BL99" s="2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</row>
    <row r="100" spans="2:75" hidden="1">
      <c r="B100" s="28" t="s">
        <v>52</v>
      </c>
      <c r="C100" s="29"/>
      <c r="D100" s="30">
        <f t="shared" si="246"/>
        <v>0</v>
      </c>
      <c r="E100" s="31"/>
      <c r="F100" s="29"/>
      <c r="G100" s="30">
        <f t="shared" si="247"/>
        <v>0</v>
      </c>
      <c r="H100" s="31"/>
      <c r="I100" s="32"/>
      <c r="K100" s="33" t="e">
        <f t="shared" si="248"/>
        <v>#DIV/0!</v>
      </c>
      <c r="L100" s="34" t="e">
        <f t="shared" si="249"/>
        <v>#DIV/0!</v>
      </c>
      <c r="M100" s="35" t="e">
        <f t="shared" si="250"/>
        <v>#DIV/0!</v>
      </c>
      <c r="N100" s="36" t="e">
        <f t="shared" si="251"/>
        <v>#DIV/0!</v>
      </c>
      <c r="O100" s="36" t="e">
        <f t="shared" si="252"/>
        <v>#DIV/0!</v>
      </c>
      <c r="P100" s="36" t="e">
        <f t="shared" si="253"/>
        <v>#DIV/0!</v>
      </c>
      <c r="Q100" s="110" t="e">
        <f t="shared" si="254"/>
        <v>#DIV/0!</v>
      </c>
      <c r="R100" s="38" t="e">
        <f t="shared" si="255"/>
        <v>#DIV/0!</v>
      </c>
      <c r="S100" s="39">
        <f t="shared" si="256"/>
        <v>1.9599639845400536</v>
      </c>
      <c r="T100" s="40" t="e">
        <f t="shared" si="257"/>
        <v>#DIV/0!</v>
      </c>
      <c r="U100" s="40" t="e">
        <f t="shared" si="258"/>
        <v>#DIV/0!</v>
      </c>
      <c r="V100" s="41" t="e">
        <f t="shared" si="259"/>
        <v>#DIV/0!</v>
      </c>
      <c r="W100" s="42" t="e">
        <f t="shared" si="259"/>
        <v>#DIV/0!</v>
      </c>
      <c r="X100" s="43"/>
      <c r="Z100" s="44" t="e">
        <f>(N100-P101)^2</f>
        <v>#DIV/0!</v>
      </c>
      <c r="AA100" s="45" t="e">
        <f t="shared" si="260"/>
        <v>#DIV/0!</v>
      </c>
      <c r="AB100" s="2">
        <v>1</v>
      </c>
      <c r="AC100" s="27"/>
      <c r="AD100" s="27"/>
      <c r="AE100" s="35" t="e">
        <f t="shared" si="261"/>
        <v>#DIV/0!</v>
      </c>
      <c r="AF100" s="46"/>
      <c r="AG100" s="47" t="e">
        <f>AG101</f>
        <v>#DIV/0!</v>
      </c>
      <c r="AH100" s="47" t="e">
        <f>AH101</f>
        <v>#DIV/0!</v>
      </c>
      <c r="AI100" s="45" t="e">
        <f t="shared" si="262"/>
        <v>#DIV/0!</v>
      </c>
      <c r="AJ100" s="48" t="e">
        <f t="shared" si="263"/>
        <v>#DIV/0!</v>
      </c>
      <c r="AK100" s="49" t="e">
        <f>AJ100/AJ101</f>
        <v>#DIV/0!</v>
      </c>
      <c r="AL100" s="50" t="e">
        <f t="shared" si="264"/>
        <v>#DIV/0!</v>
      </c>
      <c r="AM100" s="50" t="e">
        <f t="shared" si="265"/>
        <v>#DIV/0!</v>
      </c>
      <c r="AN100" s="42" t="e">
        <f t="shared" si="266"/>
        <v>#DIV/0!</v>
      </c>
      <c r="AO100" s="51" t="e">
        <f t="shared" si="267"/>
        <v>#DIV/0!</v>
      </c>
      <c r="AP100" s="42" t="e">
        <f t="shared" si="268"/>
        <v>#DIV/0!</v>
      </c>
      <c r="AQ100" s="39">
        <f t="shared" si="269"/>
        <v>1.9599639845400536</v>
      </c>
      <c r="AR100" s="40" t="e">
        <f t="shared" si="270"/>
        <v>#DIV/0!</v>
      </c>
      <c r="AS100" s="40" t="e">
        <f t="shared" si="271"/>
        <v>#DIV/0!</v>
      </c>
      <c r="AT100" s="52" t="e">
        <f t="shared" si="272"/>
        <v>#DIV/0!</v>
      </c>
      <c r="AU100" s="52" t="e">
        <f t="shared" si="272"/>
        <v>#DIV/0!</v>
      </c>
      <c r="AV100" s="16"/>
      <c r="AX100" s="53"/>
      <c r="AY100" s="53">
        <v>1</v>
      </c>
      <c r="AZ100" s="54"/>
      <c r="BA100" s="54"/>
      <c r="BC100" s="27"/>
      <c r="BD100" s="27"/>
      <c r="BE100" s="2"/>
      <c r="BF100" s="2"/>
      <c r="BG100" s="2"/>
      <c r="BH100" s="2"/>
      <c r="BI100" s="2"/>
      <c r="BJ100" s="2"/>
      <c r="BK100" s="2"/>
      <c r="BL100" s="2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</row>
    <row r="101" spans="2:75" hidden="1">
      <c r="B101" s="55">
        <f>COUNT(D98:D100)</f>
        <v>3</v>
      </c>
      <c r="C101" s="56">
        <f t="shared" ref="C101:H101" si="273">SUM(C98:C100)</f>
        <v>0</v>
      </c>
      <c r="D101" s="56">
        <f t="shared" si="273"/>
        <v>0</v>
      </c>
      <c r="E101" s="56">
        <f t="shared" si="273"/>
        <v>0</v>
      </c>
      <c r="F101" s="56">
        <f t="shared" si="273"/>
        <v>0</v>
      </c>
      <c r="G101" s="56">
        <f t="shared" si="273"/>
        <v>0</v>
      </c>
      <c r="H101" s="56">
        <f t="shared" si="273"/>
        <v>0</v>
      </c>
      <c r="I101" s="57"/>
      <c r="K101" s="58"/>
      <c r="L101" s="112"/>
      <c r="M101" s="60" t="e">
        <f>SUM(M98:M100)</f>
        <v>#DIV/0!</v>
      </c>
      <c r="N101" s="61"/>
      <c r="O101" s="62" t="e">
        <f>SUM(O98:O100)</f>
        <v>#DIV/0!</v>
      </c>
      <c r="P101" s="63" t="e">
        <f>O101/M101</f>
        <v>#DIV/0!</v>
      </c>
      <c r="Q101" s="488" t="e">
        <f>EXP(P101)</f>
        <v>#DIV/0!</v>
      </c>
      <c r="R101" s="488" t="e">
        <f>SQRT(1/M101)</f>
        <v>#DIV/0!</v>
      </c>
      <c r="S101" s="489">
        <f t="shared" si="256"/>
        <v>1.9599639845400536</v>
      </c>
      <c r="T101" s="490" t="e">
        <f>P101-(R101*S101)</f>
        <v>#DIV/0!</v>
      </c>
      <c r="U101" s="490" t="e">
        <f>P101+(R101*S101)</f>
        <v>#DIV/0!</v>
      </c>
      <c r="V101" s="491" t="e">
        <f>EXP(T101)</f>
        <v>#DIV/0!</v>
      </c>
      <c r="W101" s="492" t="e">
        <f>EXP(U101)</f>
        <v>#DIV/0!</v>
      </c>
      <c r="X101" s="65"/>
      <c r="Y101" s="65"/>
      <c r="Z101" s="66"/>
      <c r="AA101" s="67" t="e">
        <f>SUM(AA98:AA100)</f>
        <v>#DIV/0!</v>
      </c>
      <c r="AB101" s="68">
        <f>SUM(AB98:AB100)</f>
        <v>3</v>
      </c>
      <c r="AC101" s="69" t="e">
        <f>AA101-(AB101-1)</f>
        <v>#DIV/0!</v>
      </c>
      <c r="AD101" s="60" t="e">
        <f>M101</f>
        <v>#DIV/0!</v>
      </c>
      <c r="AE101" s="60" t="e">
        <f>SUM(AE98:AE100)</f>
        <v>#DIV/0!</v>
      </c>
      <c r="AF101" s="70" t="e">
        <f>AE101/AD101</f>
        <v>#DIV/0!</v>
      </c>
      <c r="AG101" s="71" t="e">
        <f>AC101/(AD101-AF101)</f>
        <v>#DIV/0!</v>
      </c>
      <c r="AH101" s="71" t="e">
        <f>IF(AA101&lt;AB101-1,"0",AG101)</f>
        <v>#DIV/0!</v>
      </c>
      <c r="AI101" s="66"/>
      <c r="AJ101" s="60" t="e">
        <f>SUM(AJ98:AJ100)</f>
        <v>#DIV/0!</v>
      </c>
      <c r="AK101" s="72" t="e">
        <f>SUM(AK98:AK100)</f>
        <v>#DIV/0!</v>
      </c>
      <c r="AL101" s="69" t="e">
        <f>SUM(AL98:AL100)</f>
        <v>#DIV/0!</v>
      </c>
      <c r="AM101" s="69" t="e">
        <f>AL101/AJ101</f>
        <v>#DIV/0!</v>
      </c>
      <c r="AN101" s="493" t="e">
        <f>EXP(AM101)</f>
        <v>#DIV/0!</v>
      </c>
      <c r="AO101" s="73" t="e">
        <f>1/AJ101</f>
        <v>#DIV/0!</v>
      </c>
      <c r="AP101" s="74" t="e">
        <f>SQRT(AO101)</f>
        <v>#DIV/0!</v>
      </c>
      <c r="AQ101" s="39">
        <f t="shared" si="269"/>
        <v>1.9599639845400536</v>
      </c>
      <c r="AR101" s="64" t="e">
        <f>AM101-(AQ101*AP101)</f>
        <v>#DIV/0!</v>
      </c>
      <c r="AS101" s="64" t="e">
        <f>AM101+(1.96*AP101)</f>
        <v>#DIV/0!</v>
      </c>
      <c r="AT101" s="494" t="e">
        <f>EXP(AR101)</f>
        <v>#DIV/0!</v>
      </c>
      <c r="AU101" s="494" t="e">
        <f>EXP(AS101)</f>
        <v>#DIV/0!</v>
      </c>
      <c r="AV101" s="75"/>
      <c r="AW101" s="76"/>
      <c r="AX101" s="77" t="e">
        <f>AA101</f>
        <v>#DIV/0!</v>
      </c>
      <c r="AY101" s="55">
        <f>SUM(AY98:AY100)</f>
        <v>3</v>
      </c>
      <c r="AZ101" s="78" t="e">
        <f>(AX101-(AY101-1))/AX101</f>
        <v>#DIV/0!</v>
      </c>
      <c r="BA101" s="79" t="e">
        <f>IF(AA101&lt;AB101-1,"0%",AZ101)</f>
        <v>#DIV/0!</v>
      </c>
      <c r="BB101" s="76"/>
      <c r="BC101" s="62" t="e">
        <f>AX101/(AY101-1)</f>
        <v>#DIV/0!</v>
      </c>
      <c r="BD101" s="80" t="e">
        <f>LN(BC101)</f>
        <v>#DIV/0!</v>
      </c>
      <c r="BE101" s="62" t="e">
        <f>LN(AX101)</f>
        <v>#DIV/0!</v>
      </c>
      <c r="BF101" s="62">
        <f>LN(AY101-1)</f>
        <v>0.69314718055994529</v>
      </c>
      <c r="BG101" s="62" t="e">
        <f>SQRT(2*AX101)</f>
        <v>#DIV/0!</v>
      </c>
      <c r="BH101" s="62">
        <f>SQRT(2*AY101-3)</f>
        <v>1.7320508075688772</v>
      </c>
      <c r="BI101" s="62">
        <f>2*(AY101-2)</f>
        <v>2</v>
      </c>
      <c r="BJ101" s="62">
        <f>3*(AY101-2)^2</f>
        <v>3</v>
      </c>
      <c r="BK101" s="62">
        <f>1/BI101</f>
        <v>0.5</v>
      </c>
      <c r="BL101" s="81">
        <f>1/BJ101</f>
        <v>0.33333333333333331</v>
      </c>
      <c r="BM101" s="81">
        <f>SQRT(BK101*(1-BL101))</f>
        <v>0.57735026918962584</v>
      </c>
      <c r="BN101" s="82" t="e">
        <f>0.5*(BE101-BF101)/(BG101-BH101)</f>
        <v>#DIV/0!</v>
      </c>
      <c r="BO101" s="82" t="e">
        <f>IF(AA101&lt;=AB101,BM101,BN101)</f>
        <v>#DIV/0!</v>
      </c>
      <c r="BP101" s="69" t="e">
        <f>BD101-(1.96*BO101)</f>
        <v>#DIV/0!</v>
      </c>
      <c r="BQ101" s="69" t="e">
        <f>BD101+(1.96*BO101)</f>
        <v>#DIV/0!</v>
      </c>
      <c r="BR101" s="69"/>
      <c r="BS101" s="80" t="e">
        <f>EXP(BP101)</f>
        <v>#DIV/0!</v>
      </c>
      <c r="BT101" s="80" t="e">
        <f>EXP(BQ101)</f>
        <v>#DIV/0!</v>
      </c>
      <c r="BU101" s="83" t="e">
        <f>BA101</f>
        <v>#DIV/0!</v>
      </c>
      <c r="BV101" s="83" t="e">
        <f>(BS101-1)/BS101</f>
        <v>#DIV/0!</v>
      </c>
      <c r="BW101" s="83" t="e">
        <f>(BT101-1)/BT101</f>
        <v>#DIV/0!</v>
      </c>
    </row>
    <row r="102" spans="2:75" ht="13.5" hidden="1" thickBot="1">
      <c r="C102" s="84"/>
      <c r="D102" s="84"/>
      <c r="E102" s="84"/>
      <c r="F102" s="84"/>
      <c r="G102" s="84"/>
      <c r="H102" s="84"/>
      <c r="I102" s="85"/>
      <c r="R102" s="86"/>
      <c r="S102" s="86"/>
      <c r="T102" s="86"/>
      <c r="U102" s="86"/>
      <c r="V102" s="86"/>
      <c r="W102" s="86"/>
      <c r="X102" s="86"/>
      <c r="AB102" s="87"/>
      <c r="AC102" s="88"/>
      <c r="AD102" s="89"/>
      <c r="AE102" s="88"/>
      <c r="AF102" s="90"/>
      <c r="AG102" s="90"/>
      <c r="AH102" s="90"/>
      <c r="AI102" s="90"/>
      <c r="AT102" s="91"/>
      <c r="AU102" s="91"/>
      <c r="AV102" s="91"/>
      <c r="AX102" s="5" t="s">
        <v>59</v>
      </c>
      <c r="BG102" s="10"/>
      <c r="BN102" s="88" t="s">
        <v>60</v>
      </c>
      <c r="BT102" s="92" t="s">
        <v>61</v>
      </c>
      <c r="BU102" s="495" t="e">
        <f>BU101</f>
        <v>#DIV/0!</v>
      </c>
      <c r="BV102" s="495" t="e">
        <f>IF(BV101&lt;0,"0%",BV101)</f>
        <v>#DIV/0!</v>
      </c>
      <c r="BW102" s="496" t="e">
        <f>IF(BW101&lt;0,"0%",BW101)</f>
        <v>#DIV/0!</v>
      </c>
    </row>
    <row r="103" spans="2:75" ht="26.5" hidden="1" thickBot="1">
      <c r="B103" s="5"/>
      <c r="C103" s="93"/>
      <c r="D103" s="93"/>
      <c r="E103" s="93"/>
      <c r="F103" s="93"/>
      <c r="G103" s="93"/>
      <c r="H103" s="93"/>
      <c r="I103" s="94"/>
      <c r="J103" s="5"/>
      <c r="K103" s="5"/>
      <c r="R103" s="95"/>
      <c r="S103" s="95"/>
      <c r="T103" s="95"/>
      <c r="U103" s="95"/>
      <c r="V103" s="95"/>
      <c r="W103" s="95"/>
      <c r="X103" s="95"/>
      <c r="AF103" s="1"/>
      <c r="AI103" s="10"/>
      <c r="AJ103" s="96"/>
      <c r="AK103" s="96"/>
      <c r="AL103" s="97"/>
      <c r="AM103" s="98"/>
      <c r="AO103" s="99" t="s">
        <v>62</v>
      </c>
      <c r="AP103" s="100">
        <f>TINV((1-$H$1),(AB101-2))</f>
        <v>12.706204736174694</v>
      </c>
      <c r="AR103" s="497" t="s">
        <v>63</v>
      </c>
      <c r="AS103" s="101">
        <f>$H$1</f>
        <v>0.95</v>
      </c>
      <c r="AT103" s="519" t="e">
        <f>EXP(AM101-AP103*SQRT((1/AD101)+AH101))</f>
        <v>#DIV/0!</v>
      </c>
      <c r="AU103" s="519" t="e">
        <f>EXP(AM101+AP103*SQRT((1/AD101)+AH101))</f>
        <v>#DIV/0!</v>
      </c>
      <c r="AV103" s="16"/>
      <c r="AX103" s="102" t="e">
        <f>_xlfn.CHISQ.DIST.RT(AX101,AY101-1)</f>
        <v>#DIV/0!</v>
      </c>
      <c r="AY103" s="103" t="e">
        <f>IF(AX103&lt;0.05,"heterogeneidad","homogeneidad")</f>
        <v>#DIV/0!</v>
      </c>
      <c r="BF103" s="104"/>
      <c r="BG103" s="10"/>
      <c r="BH103" s="10"/>
      <c r="BJ103" s="43"/>
      <c r="BL103" s="10"/>
      <c r="BM103" s="105"/>
      <c r="BQ103" s="10"/>
    </row>
    <row r="104" spans="2:75" ht="14.5" hidden="1">
      <c r="B104" s="5"/>
      <c r="C104" s="93"/>
      <c r="D104" s="93"/>
      <c r="E104" s="93"/>
      <c r="F104" s="93"/>
      <c r="G104" s="93"/>
      <c r="H104" s="93"/>
      <c r="I104" s="94"/>
      <c r="J104" s="5"/>
      <c r="K104" s="5"/>
      <c r="R104" s="95"/>
      <c r="S104" s="95"/>
      <c r="T104" s="95"/>
      <c r="U104" s="95"/>
      <c r="V104" s="95"/>
      <c r="W104" s="95"/>
      <c r="X104" s="95"/>
      <c r="AF104" s="1"/>
      <c r="AI104" s="10"/>
      <c r="AJ104" s="96"/>
      <c r="AK104" s="96"/>
      <c r="AL104" s="97"/>
      <c r="AM104" s="98"/>
      <c r="AN104" s="106"/>
      <c r="AO104" s="107"/>
      <c r="AP104" s="13"/>
      <c r="AS104" s="108"/>
      <c r="AT104" s="16"/>
      <c r="AU104" s="16"/>
      <c r="AV104" s="16"/>
      <c r="BF104" s="104"/>
      <c r="BG104" s="10"/>
      <c r="BH104" s="10"/>
      <c r="BJ104" s="43"/>
      <c r="BL104" s="10"/>
      <c r="BM104" s="109"/>
      <c r="BQ104" s="10"/>
    </row>
    <row r="105" spans="2:75" ht="13" hidden="1" customHeight="1">
      <c r="C105" s="84"/>
      <c r="D105" s="84"/>
      <c r="E105" s="84"/>
      <c r="F105" s="84"/>
      <c r="G105" s="84"/>
      <c r="H105" s="84"/>
      <c r="I105" s="85"/>
      <c r="J105" s="668" t="s">
        <v>4</v>
      </c>
      <c r="K105" s="669"/>
      <c r="L105" s="669"/>
      <c r="M105" s="669"/>
      <c r="N105" s="669"/>
      <c r="O105" s="669"/>
      <c r="P105" s="669"/>
      <c r="Q105" s="669"/>
      <c r="R105" s="669"/>
      <c r="S105" s="669"/>
      <c r="T105" s="669"/>
      <c r="U105" s="669"/>
      <c r="V105" s="669"/>
      <c r="W105" s="670"/>
      <c r="X105" s="11"/>
      <c r="Y105" s="668" t="s">
        <v>5</v>
      </c>
      <c r="Z105" s="669"/>
      <c r="AA105" s="669"/>
      <c r="AB105" s="669"/>
      <c r="AC105" s="669"/>
      <c r="AD105" s="669"/>
      <c r="AE105" s="669"/>
      <c r="AF105" s="669"/>
      <c r="AG105" s="669"/>
      <c r="AH105" s="669"/>
      <c r="AI105" s="669"/>
      <c r="AJ105" s="669"/>
      <c r="AK105" s="669"/>
      <c r="AL105" s="669"/>
      <c r="AM105" s="669"/>
      <c r="AN105" s="669"/>
      <c r="AO105" s="669"/>
      <c r="AP105" s="669"/>
      <c r="AQ105" s="669"/>
      <c r="AR105" s="669"/>
      <c r="AS105" s="669"/>
      <c r="AT105" s="669"/>
      <c r="AU105" s="670"/>
      <c r="AV105" s="11"/>
      <c r="AW105" s="668" t="s">
        <v>232</v>
      </c>
      <c r="AX105" s="669"/>
      <c r="AY105" s="669"/>
      <c r="AZ105" s="66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70"/>
    </row>
    <row r="106" spans="2:75" hidden="1">
      <c r="B106" s="12" t="s">
        <v>6</v>
      </c>
      <c r="C106" s="677" t="s">
        <v>7</v>
      </c>
      <c r="D106" s="677"/>
      <c r="E106" s="677"/>
      <c r="F106" s="677" t="s">
        <v>8</v>
      </c>
      <c r="G106" s="677"/>
      <c r="H106" s="677"/>
      <c r="I106" s="13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</row>
    <row r="107" spans="2:75" ht="60" hidden="1">
      <c r="B107" s="503"/>
      <c r="C107" s="15" t="s">
        <v>9</v>
      </c>
      <c r="D107" s="15" t="s">
        <v>10</v>
      </c>
      <c r="E107" s="15" t="s">
        <v>11</v>
      </c>
      <c r="F107" s="15" t="s">
        <v>9</v>
      </c>
      <c r="G107" s="15" t="s">
        <v>10</v>
      </c>
      <c r="H107" s="15" t="s">
        <v>11</v>
      </c>
      <c r="I107" s="16"/>
      <c r="K107" s="17" t="s">
        <v>12</v>
      </c>
      <c r="L107" s="17" t="s">
        <v>13</v>
      </c>
      <c r="M107" s="17" t="s">
        <v>14</v>
      </c>
      <c r="N107" s="18" t="s">
        <v>15</v>
      </c>
      <c r="O107" s="18" t="s">
        <v>16</v>
      </c>
      <c r="P107" s="18" t="s">
        <v>17</v>
      </c>
      <c r="Q107" s="486" t="s">
        <v>18</v>
      </c>
      <c r="R107" s="486" t="s">
        <v>19</v>
      </c>
      <c r="S107" s="487" t="s">
        <v>3</v>
      </c>
      <c r="T107" s="486" t="s">
        <v>20</v>
      </c>
      <c r="U107" s="486" t="s">
        <v>21</v>
      </c>
      <c r="V107" s="486" t="s">
        <v>22</v>
      </c>
      <c r="W107" s="486" t="s">
        <v>22</v>
      </c>
      <c r="X107" s="19"/>
      <c r="Y107" s="20"/>
      <c r="Z107" s="21" t="s">
        <v>23</v>
      </c>
      <c r="AA107" s="18" t="s">
        <v>24</v>
      </c>
      <c r="AB107" s="3" t="s">
        <v>25</v>
      </c>
      <c r="AC107" s="3" t="s">
        <v>26</v>
      </c>
      <c r="AD107" s="3" t="s">
        <v>27</v>
      </c>
      <c r="AE107" s="18" t="s">
        <v>28</v>
      </c>
      <c r="AF107" s="18" t="s">
        <v>29</v>
      </c>
      <c r="AG107" s="22" t="s">
        <v>30</v>
      </c>
      <c r="AH107" s="22" t="s">
        <v>31</v>
      </c>
      <c r="AI107" s="3" t="s">
        <v>32</v>
      </c>
      <c r="AJ107" s="18" t="s">
        <v>33</v>
      </c>
      <c r="AK107" s="18" t="s">
        <v>34</v>
      </c>
      <c r="AL107" s="18" t="s">
        <v>35</v>
      </c>
      <c r="AM107" s="3" t="s">
        <v>36</v>
      </c>
      <c r="AN107" s="487" t="s">
        <v>37</v>
      </c>
      <c r="AO107" s="18" t="s">
        <v>38</v>
      </c>
      <c r="AP107" s="18" t="s">
        <v>39</v>
      </c>
      <c r="AQ107" s="3" t="s">
        <v>3</v>
      </c>
      <c r="AR107" s="18" t="s">
        <v>40</v>
      </c>
      <c r="AS107" s="18" t="s">
        <v>41</v>
      </c>
      <c r="AT107" s="486" t="s">
        <v>22</v>
      </c>
      <c r="AU107" s="486" t="s">
        <v>22</v>
      </c>
      <c r="AV107" s="19"/>
      <c r="AX107" s="23" t="s">
        <v>42</v>
      </c>
      <c r="AY107" s="23" t="s">
        <v>25</v>
      </c>
      <c r="AZ107" s="24" t="s">
        <v>64</v>
      </c>
      <c r="BA107" s="25" t="s">
        <v>65</v>
      </c>
      <c r="BC107" s="3" t="s">
        <v>66</v>
      </c>
      <c r="BD107" s="3" t="s">
        <v>67</v>
      </c>
      <c r="BE107" s="3" t="s">
        <v>43</v>
      </c>
      <c r="BF107" s="3" t="s">
        <v>44</v>
      </c>
      <c r="BG107" s="3" t="s">
        <v>45</v>
      </c>
      <c r="BH107" s="3" t="s">
        <v>46</v>
      </c>
      <c r="BI107" s="3" t="s">
        <v>47</v>
      </c>
      <c r="BJ107" s="3" t="s">
        <v>68</v>
      </c>
      <c r="BK107" s="3" t="s">
        <v>48</v>
      </c>
      <c r="BL107" s="3" t="s">
        <v>49</v>
      </c>
      <c r="BM107" s="26" t="s">
        <v>69</v>
      </c>
      <c r="BN107" s="26" t="s">
        <v>70</v>
      </c>
      <c r="BO107" s="26" t="s">
        <v>71</v>
      </c>
      <c r="BP107" s="26" t="s">
        <v>72</v>
      </c>
      <c r="BQ107" s="26" t="s">
        <v>73</v>
      </c>
      <c r="BR107" s="27"/>
      <c r="BS107" s="18" t="s">
        <v>74</v>
      </c>
      <c r="BT107" s="18" t="s">
        <v>75</v>
      </c>
      <c r="BU107" s="486" t="s">
        <v>229</v>
      </c>
      <c r="BV107" s="486" t="s">
        <v>230</v>
      </c>
      <c r="BW107" s="486" t="s">
        <v>231</v>
      </c>
    </row>
    <row r="108" spans="2:75" hidden="1">
      <c r="B108" s="28" t="s">
        <v>50</v>
      </c>
      <c r="C108" s="29"/>
      <c r="D108" s="30">
        <f>E108-C108</f>
        <v>0</v>
      </c>
      <c r="E108" s="31"/>
      <c r="F108" s="29"/>
      <c r="G108" s="30">
        <f>H108-F108</f>
        <v>0</v>
      </c>
      <c r="H108" s="31"/>
      <c r="I108" s="32"/>
      <c r="K108" s="33" t="e">
        <f>(C108/E108)/(F108/H108)</f>
        <v>#DIV/0!</v>
      </c>
      <c r="L108" s="34" t="e">
        <f>(D108/(C108*E108)+(G108/(F108*H108)))</f>
        <v>#DIV/0!</v>
      </c>
      <c r="M108" s="35" t="e">
        <f>1/L108</f>
        <v>#DIV/0!</v>
      </c>
      <c r="N108" s="36" t="e">
        <f>LN(K108)</f>
        <v>#DIV/0!</v>
      </c>
      <c r="O108" s="36" t="e">
        <f>M108*N108</f>
        <v>#DIV/0!</v>
      </c>
      <c r="P108" s="36" t="e">
        <f>LN(K108)</f>
        <v>#DIV/0!</v>
      </c>
      <c r="Q108" s="110" t="e">
        <f>K108</f>
        <v>#DIV/0!</v>
      </c>
      <c r="R108" s="38" t="e">
        <f>SQRT(1/M108)</f>
        <v>#DIV/0!</v>
      </c>
      <c r="S108" s="39">
        <f>$H$2</f>
        <v>1.9599639845400536</v>
      </c>
      <c r="T108" s="40" t="e">
        <f>P108-(R108*S108)</f>
        <v>#DIV/0!</v>
      </c>
      <c r="U108" s="40" t="e">
        <f>P108+(R108*S108)</f>
        <v>#DIV/0!</v>
      </c>
      <c r="V108" s="41" t="e">
        <f>EXP(T108)</f>
        <v>#DIV/0!</v>
      </c>
      <c r="W108" s="42" t="e">
        <f>EXP(U108)</f>
        <v>#DIV/0!</v>
      </c>
      <c r="X108" s="43"/>
      <c r="Z108" s="44" t="e">
        <f>(N108-P117)^2</f>
        <v>#DIV/0!</v>
      </c>
      <c r="AA108" s="45" t="e">
        <f>M108*Z108</f>
        <v>#DIV/0!</v>
      </c>
      <c r="AB108" s="2">
        <v>1</v>
      </c>
      <c r="AC108" s="27"/>
      <c r="AD108" s="27"/>
      <c r="AE108" s="35" t="e">
        <f>M108^2</f>
        <v>#DIV/0!</v>
      </c>
      <c r="AF108" s="46"/>
      <c r="AG108" s="47" t="e">
        <f>AG117</f>
        <v>#DIV/0!</v>
      </c>
      <c r="AH108" s="47" t="e">
        <f>AH117</f>
        <v>#DIV/0!</v>
      </c>
      <c r="AI108" s="45" t="e">
        <f>1/M108</f>
        <v>#DIV/0!</v>
      </c>
      <c r="AJ108" s="48" t="e">
        <f>1/(AH108+AI108)</f>
        <v>#DIV/0!</v>
      </c>
      <c r="AK108" s="49" t="e">
        <f>AJ108/AJ117</f>
        <v>#DIV/0!</v>
      </c>
      <c r="AL108" s="50" t="e">
        <f>AJ108*N108</f>
        <v>#DIV/0!</v>
      </c>
      <c r="AM108" s="50" t="e">
        <f>AL108/AJ108</f>
        <v>#DIV/0!</v>
      </c>
      <c r="AN108" s="42" t="e">
        <f>EXP(AM108)</f>
        <v>#DIV/0!</v>
      </c>
      <c r="AO108" s="51" t="e">
        <f>1/AJ108</f>
        <v>#DIV/0!</v>
      </c>
      <c r="AP108" s="42" t="e">
        <f>SQRT(AO108)</f>
        <v>#DIV/0!</v>
      </c>
      <c r="AQ108" s="39">
        <f>$H$2</f>
        <v>1.9599639845400536</v>
      </c>
      <c r="AR108" s="40" t="e">
        <f>AM108-(AQ108*AP108)</f>
        <v>#DIV/0!</v>
      </c>
      <c r="AS108" s="40" t="e">
        <f>AM108+(1.96*AP108)</f>
        <v>#DIV/0!</v>
      </c>
      <c r="AT108" s="52" t="e">
        <f>EXP(AR108)</f>
        <v>#DIV/0!</v>
      </c>
      <c r="AU108" s="52" t="e">
        <f>EXP(AS108)</f>
        <v>#DIV/0!</v>
      </c>
      <c r="AV108" s="16"/>
      <c r="AX108" s="53"/>
      <c r="AY108" s="53">
        <v>1</v>
      </c>
      <c r="AZ108" s="54"/>
      <c r="BA108" s="54"/>
      <c r="BC108" s="27"/>
      <c r="BD108" s="27"/>
      <c r="BE108" s="2"/>
      <c r="BF108" s="2"/>
      <c r="BG108" s="2"/>
      <c r="BH108" s="2"/>
      <c r="BI108" s="2"/>
      <c r="BJ108" s="2"/>
      <c r="BK108" s="2"/>
      <c r="BL108" s="2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</row>
    <row r="109" spans="2:75" hidden="1">
      <c r="B109" s="28" t="s">
        <v>51</v>
      </c>
      <c r="C109" s="29"/>
      <c r="D109" s="30">
        <f t="shared" ref="D109:D116" si="274">E109-C109</f>
        <v>0</v>
      </c>
      <c r="E109" s="31"/>
      <c r="F109" s="29"/>
      <c r="G109" s="30">
        <f t="shared" ref="G109:G116" si="275">H109-F109</f>
        <v>0</v>
      </c>
      <c r="H109" s="31"/>
      <c r="I109" s="32"/>
      <c r="K109" s="33" t="e">
        <f t="shared" ref="K109:K116" si="276">(C109/E109)/(F109/H109)</f>
        <v>#DIV/0!</v>
      </c>
      <c r="L109" s="34" t="e">
        <f t="shared" ref="L109:L115" si="277">(D109/(C109*E109)+(G109/(F109*H109)))</f>
        <v>#DIV/0!</v>
      </c>
      <c r="M109" s="35" t="e">
        <f t="shared" ref="M109:M116" si="278">1/L109</f>
        <v>#DIV/0!</v>
      </c>
      <c r="N109" s="36" t="e">
        <f t="shared" ref="N109:N116" si="279">LN(K109)</f>
        <v>#DIV/0!</v>
      </c>
      <c r="O109" s="36" t="e">
        <f t="shared" ref="O109:O116" si="280">M109*N109</f>
        <v>#DIV/0!</v>
      </c>
      <c r="P109" s="36" t="e">
        <f t="shared" ref="P109:P116" si="281">LN(K109)</f>
        <v>#DIV/0!</v>
      </c>
      <c r="Q109" s="110" t="e">
        <f t="shared" ref="Q109:Q116" si="282">K109</f>
        <v>#DIV/0!</v>
      </c>
      <c r="R109" s="38" t="e">
        <f t="shared" ref="R109:R116" si="283">SQRT(1/M109)</f>
        <v>#DIV/0!</v>
      </c>
      <c r="S109" s="39">
        <f t="shared" ref="S109:S117" si="284">$H$2</f>
        <v>1.9599639845400536</v>
      </c>
      <c r="T109" s="40" t="e">
        <f t="shared" ref="T109:T116" si="285">P109-(R109*S109)</f>
        <v>#DIV/0!</v>
      </c>
      <c r="U109" s="40" t="e">
        <f t="shared" ref="U109:U116" si="286">P109+(R109*S109)</f>
        <v>#DIV/0!</v>
      </c>
      <c r="V109" s="41" t="e">
        <f t="shared" ref="V109:W116" si="287">EXP(T109)</f>
        <v>#DIV/0!</v>
      </c>
      <c r="W109" s="42" t="e">
        <f t="shared" si="287"/>
        <v>#DIV/0!</v>
      </c>
      <c r="X109" s="43"/>
      <c r="Z109" s="44" t="e">
        <f>(N109-P117)^2</f>
        <v>#DIV/0!</v>
      </c>
      <c r="AA109" s="45" t="e">
        <f t="shared" ref="AA109:AA116" si="288">M109*Z109</f>
        <v>#DIV/0!</v>
      </c>
      <c r="AB109" s="2">
        <v>1</v>
      </c>
      <c r="AC109" s="27"/>
      <c r="AD109" s="27"/>
      <c r="AE109" s="35" t="e">
        <f t="shared" ref="AE109:AE116" si="289">M109^2</f>
        <v>#DIV/0!</v>
      </c>
      <c r="AF109" s="46"/>
      <c r="AG109" s="47" t="e">
        <f>AG117</f>
        <v>#DIV/0!</v>
      </c>
      <c r="AH109" s="47" t="e">
        <f>AH117</f>
        <v>#DIV/0!</v>
      </c>
      <c r="AI109" s="45" t="e">
        <f t="shared" ref="AI109:AI116" si="290">1/M109</f>
        <v>#DIV/0!</v>
      </c>
      <c r="AJ109" s="48" t="e">
        <f t="shared" ref="AJ109:AJ116" si="291">1/(AH109+AI109)</f>
        <v>#DIV/0!</v>
      </c>
      <c r="AK109" s="49" t="e">
        <f>AJ109/AJ117</f>
        <v>#DIV/0!</v>
      </c>
      <c r="AL109" s="50" t="e">
        <f t="shared" ref="AL109:AL116" si="292">AJ109*N109</f>
        <v>#DIV/0!</v>
      </c>
      <c r="AM109" s="50" t="e">
        <f t="shared" ref="AM109:AM116" si="293">AL109/AJ109</f>
        <v>#DIV/0!</v>
      </c>
      <c r="AN109" s="42" t="e">
        <f t="shared" ref="AN109:AN116" si="294">EXP(AM109)</f>
        <v>#DIV/0!</v>
      </c>
      <c r="AO109" s="51" t="e">
        <f t="shared" ref="AO109:AO116" si="295">1/AJ109</f>
        <v>#DIV/0!</v>
      </c>
      <c r="AP109" s="42" t="e">
        <f t="shared" ref="AP109:AP116" si="296">SQRT(AO109)</f>
        <v>#DIV/0!</v>
      </c>
      <c r="AQ109" s="39">
        <f t="shared" ref="AQ109:AQ117" si="297">$H$2</f>
        <v>1.9599639845400536</v>
      </c>
      <c r="AR109" s="40" t="e">
        <f t="shared" ref="AR109:AR116" si="298">AM109-(AQ109*AP109)</f>
        <v>#DIV/0!</v>
      </c>
      <c r="AS109" s="40" t="e">
        <f t="shared" ref="AS109:AS116" si="299">AM109+(1.96*AP109)</f>
        <v>#DIV/0!</v>
      </c>
      <c r="AT109" s="52" t="e">
        <f t="shared" ref="AT109:AU116" si="300">EXP(AR109)</f>
        <v>#DIV/0!</v>
      </c>
      <c r="AU109" s="52" t="e">
        <f t="shared" si="300"/>
        <v>#DIV/0!</v>
      </c>
      <c r="AV109" s="16"/>
      <c r="AX109" s="53"/>
      <c r="AY109" s="53">
        <v>1</v>
      </c>
      <c r="AZ109" s="54"/>
      <c r="BA109" s="54"/>
      <c r="BC109" s="27"/>
      <c r="BD109" s="27"/>
      <c r="BE109" s="2"/>
      <c r="BF109" s="2"/>
      <c r="BG109" s="2"/>
      <c r="BH109" s="2"/>
      <c r="BI109" s="2"/>
      <c r="BJ109" s="2"/>
      <c r="BK109" s="2"/>
      <c r="BL109" s="2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</row>
    <row r="110" spans="2:75" hidden="1">
      <c r="B110" s="28" t="s">
        <v>52</v>
      </c>
      <c r="C110" s="29"/>
      <c r="D110" s="30">
        <f t="shared" si="274"/>
        <v>0</v>
      </c>
      <c r="E110" s="31"/>
      <c r="F110" s="29"/>
      <c r="G110" s="30">
        <f t="shared" si="275"/>
        <v>0</v>
      </c>
      <c r="H110" s="31"/>
      <c r="I110" s="32"/>
      <c r="K110" s="33" t="e">
        <f t="shared" si="276"/>
        <v>#DIV/0!</v>
      </c>
      <c r="L110" s="34" t="e">
        <f t="shared" si="277"/>
        <v>#DIV/0!</v>
      </c>
      <c r="M110" s="35" t="e">
        <f t="shared" si="278"/>
        <v>#DIV/0!</v>
      </c>
      <c r="N110" s="36" t="e">
        <f t="shared" si="279"/>
        <v>#DIV/0!</v>
      </c>
      <c r="O110" s="36" t="e">
        <f t="shared" si="280"/>
        <v>#DIV/0!</v>
      </c>
      <c r="P110" s="36" t="e">
        <f t="shared" si="281"/>
        <v>#DIV/0!</v>
      </c>
      <c r="Q110" s="110" t="e">
        <f t="shared" si="282"/>
        <v>#DIV/0!</v>
      </c>
      <c r="R110" s="38" t="e">
        <f t="shared" si="283"/>
        <v>#DIV/0!</v>
      </c>
      <c r="S110" s="39">
        <f t="shared" si="284"/>
        <v>1.9599639845400536</v>
      </c>
      <c r="T110" s="40" t="e">
        <f t="shared" si="285"/>
        <v>#DIV/0!</v>
      </c>
      <c r="U110" s="40" t="e">
        <f t="shared" si="286"/>
        <v>#DIV/0!</v>
      </c>
      <c r="V110" s="41" t="e">
        <f t="shared" si="287"/>
        <v>#DIV/0!</v>
      </c>
      <c r="W110" s="42" t="e">
        <f t="shared" si="287"/>
        <v>#DIV/0!</v>
      </c>
      <c r="X110" s="43"/>
      <c r="Z110" s="44" t="e">
        <f>(N110-P117)^2</f>
        <v>#DIV/0!</v>
      </c>
      <c r="AA110" s="45" t="e">
        <f t="shared" si="288"/>
        <v>#DIV/0!</v>
      </c>
      <c r="AB110" s="2">
        <v>1</v>
      </c>
      <c r="AC110" s="27"/>
      <c r="AD110" s="27"/>
      <c r="AE110" s="35" t="e">
        <f t="shared" si="289"/>
        <v>#DIV/0!</v>
      </c>
      <c r="AF110" s="46"/>
      <c r="AG110" s="47" t="e">
        <f>AG117</f>
        <v>#DIV/0!</v>
      </c>
      <c r="AH110" s="47" t="e">
        <f>AH117</f>
        <v>#DIV/0!</v>
      </c>
      <c r="AI110" s="45" t="e">
        <f t="shared" si="290"/>
        <v>#DIV/0!</v>
      </c>
      <c r="AJ110" s="48" t="e">
        <f t="shared" si="291"/>
        <v>#DIV/0!</v>
      </c>
      <c r="AK110" s="49" t="e">
        <f>AJ110/AJ117</f>
        <v>#DIV/0!</v>
      </c>
      <c r="AL110" s="50" t="e">
        <f t="shared" si="292"/>
        <v>#DIV/0!</v>
      </c>
      <c r="AM110" s="50" t="e">
        <f t="shared" si="293"/>
        <v>#DIV/0!</v>
      </c>
      <c r="AN110" s="42" t="e">
        <f t="shared" si="294"/>
        <v>#DIV/0!</v>
      </c>
      <c r="AO110" s="51" t="e">
        <f t="shared" si="295"/>
        <v>#DIV/0!</v>
      </c>
      <c r="AP110" s="42" t="e">
        <f t="shared" si="296"/>
        <v>#DIV/0!</v>
      </c>
      <c r="AQ110" s="39">
        <f t="shared" si="297"/>
        <v>1.9599639845400536</v>
      </c>
      <c r="AR110" s="40" t="e">
        <f t="shared" si="298"/>
        <v>#DIV/0!</v>
      </c>
      <c r="AS110" s="40" t="e">
        <f t="shared" si="299"/>
        <v>#DIV/0!</v>
      </c>
      <c r="AT110" s="52" t="e">
        <f t="shared" si="300"/>
        <v>#DIV/0!</v>
      </c>
      <c r="AU110" s="52" t="e">
        <f t="shared" si="300"/>
        <v>#DIV/0!</v>
      </c>
      <c r="AV110" s="16"/>
      <c r="AX110" s="53"/>
      <c r="AY110" s="53">
        <v>1</v>
      </c>
      <c r="AZ110" s="54"/>
      <c r="BA110" s="54"/>
      <c r="BC110" s="27"/>
      <c r="BD110" s="27"/>
      <c r="BE110" s="2"/>
      <c r="BF110" s="2"/>
      <c r="BG110" s="2"/>
      <c r="BH110" s="2"/>
      <c r="BI110" s="2"/>
      <c r="BJ110" s="2"/>
      <c r="BK110" s="2"/>
      <c r="BL110" s="2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</row>
    <row r="111" spans="2:75" hidden="1">
      <c r="B111" s="28" t="s">
        <v>53</v>
      </c>
      <c r="C111" s="29"/>
      <c r="D111" s="30">
        <f t="shared" si="274"/>
        <v>0</v>
      </c>
      <c r="E111" s="31"/>
      <c r="F111" s="29"/>
      <c r="G111" s="30">
        <f t="shared" si="275"/>
        <v>0</v>
      </c>
      <c r="H111" s="31"/>
      <c r="I111" s="32"/>
      <c r="K111" s="33" t="e">
        <f t="shared" si="276"/>
        <v>#DIV/0!</v>
      </c>
      <c r="L111" s="34" t="e">
        <f t="shared" si="277"/>
        <v>#DIV/0!</v>
      </c>
      <c r="M111" s="35" t="e">
        <f t="shared" si="278"/>
        <v>#DIV/0!</v>
      </c>
      <c r="N111" s="36" t="e">
        <f t="shared" si="279"/>
        <v>#DIV/0!</v>
      </c>
      <c r="O111" s="36" t="e">
        <f t="shared" si="280"/>
        <v>#DIV/0!</v>
      </c>
      <c r="P111" s="36" t="e">
        <f t="shared" si="281"/>
        <v>#DIV/0!</v>
      </c>
      <c r="Q111" s="110" t="e">
        <f t="shared" si="282"/>
        <v>#DIV/0!</v>
      </c>
      <c r="R111" s="38" t="e">
        <f t="shared" si="283"/>
        <v>#DIV/0!</v>
      </c>
      <c r="S111" s="39">
        <f t="shared" si="284"/>
        <v>1.9599639845400536</v>
      </c>
      <c r="T111" s="40" t="e">
        <f t="shared" si="285"/>
        <v>#DIV/0!</v>
      </c>
      <c r="U111" s="40" t="e">
        <f t="shared" si="286"/>
        <v>#DIV/0!</v>
      </c>
      <c r="V111" s="41" t="e">
        <f t="shared" si="287"/>
        <v>#DIV/0!</v>
      </c>
      <c r="W111" s="42" t="e">
        <f t="shared" si="287"/>
        <v>#DIV/0!</v>
      </c>
      <c r="X111" s="43"/>
      <c r="Z111" s="44" t="e">
        <f>(N111-P117)^2</f>
        <v>#DIV/0!</v>
      </c>
      <c r="AA111" s="45" t="e">
        <f t="shared" si="288"/>
        <v>#DIV/0!</v>
      </c>
      <c r="AB111" s="2">
        <v>1</v>
      </c>
      <c r="AC111" s="27"/>
      <c r="AD111" s="27"/>
      <c r="AE111" s="35" t="e">
        <f t="shared" si="289"/>
        <v>#DIV/0!</v>
      </c>
      <c r="AF111" s="46"/>
      <c r="AG111" s="47" t="e">
        <f>AG117</f>
        <v>#DIV/0!</v>
      </c>
      <c r="AH111" s="47" t="e">
        <f>AH117</f>
        <v>#DIV/0!</v>
      </c>
      <c r="AI111" s="45" t="e">
        <f t="shared" si="290"/>
        <v>#DIV/0!</v>
      </c>
      <c r="AJ111" s="48" t="e">
        <f t="shared" si="291"/>
        <v>#DIV/0!</v>
      </c>
      <c r="AK111" s="49" t="e">
        <f>AJ111/AJ117</f>
        <v>#DIV/0!</v>
      </c>
      <c r="AL111" s="50" t="e">
        <f t="shared" si="292"/>
        <v>#DIV/0!</v>
      </c>
      <c r="AM111" s="50" t="e">
        <f t="shared" si="293"/>
        <v>#DIV/0!</v>
      </c>
      <c r="AN111" s="42" t="e">
        <f t="shared" si="294"/>
        <v>#DIV/0!</v>
      </c>
      <c r="AO111" s="51" t="e">
        <f t="shared" si="295"/>
        <v>#DIV/0!</v>
      </c>
      <c r="AP111" s="42" t="e">
        <f t="shared" si="296"/>
        <v>#DIV/0!</v>
      </c>
      <c r="AQ111" s="39">
        <f t="shared" si="297"/>
        <v>1.9599639845400536</v>
      </c>
      <c r="AR111" s="40" t="e">
        <f t="shared" si="298"/>
        <v>#DIV/0!</v>
      </c>
      <c r="AS111" s="40" t="e">
        <f t="shared" si="299"/>
        <v>#DIV/0!</v>
      </c>
      <c r="AT111" s="52" t="e">
        <f t="shared" si="300"/>
        <v>#DIV/0!</v>
      </c>
      <c r="AU111" s="52" t="e">
        <f t="shared" si="300"/>
        <v>#DIV/0!</v>
      </c>
      <c r="AV111" s="16"/>
      <c r="AX111" s="53"/>
      <c r="AY111" s="53">
        <v>1</v>
      </c>
      <c r="AZ111" s="54"/>
      <c r="BA111" s="54"/>
      <c r="BC111" s="27"/>
      <c r="BD111" s="27"/>
      <c r="BE111" s="2"/>
      <c r="BF111" s="2"/>
      <c r="BG111" s="2"/>
      <c r="BH111" s="2"/>
      <c r="BI111" s="2"/>
      <c r="BJ111" s="2"/>
      <c r="BK111" s="2"/>
      <c r="BL111" s="2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</row>
    <row r="112" spans="2:75" hidden="1">
      <c r="B112" s="28" t="s">
        <v>54</v>
      </c>
      <c r="C112" s="29"/>
      <c r="D112" s="30">
        <f t="shared" si="274"/>
        <v>0</v>
      </c>
      <c r="E112" s="31"/>
      <c r="F112" s="29"/>
      <c r="G112" s="30">
        <f t="shared" si="275"/>
        <v>0</v>
      </c>
      <c r="H112" s="31"/>
      <c r="I112" s="32"/>
      <c r="K112" s="33" t="e">
        <f t="shared" si="276"/>
        <v>#DIV/0!</v>
      </c>
      <c r="L112" s="34" t="e">
        <f t="shared" si="277"/>
        <v>#DIV/0!</v>
      </c>
      <c r="M112" s="35" t="e">
        <f t="shared" si="278"/>
        <v>#DIV/0!</v>
      </c>
      <c r="N112" s="36" t="e">
        <f t="shared" si="279"/>
        <v>#DIV/0!</v>
      </c>
      <c r="O112" s="36" t="e">
        <f t="shared" si="280"/>
        <v>#DIV/0!</v>
      </c>
      <c r="P112" s="36" t="e">
        <f t="shared" si="281"/>
        <v>#DIV/0!</v>
      </c>
      <c r="Q112" s="110" t="e">
        <f t="shared" si="282"/>
        <v>#DIV/0!</v>
      </c>
      <c r="R112" s="38" t="e">
        <f t="shared" si="283"/>
        <v>#DIV/0!</v>
      </c>
      <c r="S112" s="39">
        <f t="shared" si="284"/>
        <v>1.9599639845400536</v>
      </c>
      <c r="T112" s="40" t="e">
        <f t="shared" si="285"/>
        <v>#DIV/0!</v>
      </c>
      <c r="U112" s="40" t="e">
        <f t="shared" si="286"/>
        <v>#DIV/0!</v>
      </c>
      <c r="V112" s="41" t="e">
        <f t="shared" si="287"/>
        <v>#DIV/0!</v>
      </c>
      <c r="W112" s="42" t="e">
        <f t="shared" si="287"/>
        <v>#DIV/0!</v>
      </c>
      <c r="X112" s="43"/>
      <c r="Z112" s="44" t="e">
        <f>(N112-P117)^2</f>
        <v>#DIV/0!</v>
      </c>
      <c r="AA112" s="45" t="e">
        <f t="shared" si="288"/>
        <v>#DIV/0!</v>
      </c>
      <c r="AB112" s="2">
        <v>1</v>
      </c>
      <c r="AC112" s="27"/>
      <c r="AD112" s="27"/>
      <c r="AE112" s="35" t="e">
        <f t="shared" si="289"/>
        <v>#DIV/0!</v>
      </c>
      <c r="AF112" s="46"/>
      <c r="AG112" s="47" t="e">
        <f>AG117</f>
        <v>#DIV/0!</v>
      </c>
      <c r="AH112" s="47" t="e">
        <f>AH117</f>
        <v>#DIV/0!</v>
      </c>
      <c r="AI112" s="45" t="e">
        <f t="shared" si="290"/>
        <v>#DIV/0!</v>
      </c>
      <c r="AJ112" s="48" t="e">
        <f t="shared" si="291"/>
        <v>#DIV/0!</v>
      </c>
      <c r="AK112" s="49" t="e">
        <f>AJ112/AJ117</f>
        <v>#DIV/0!</v>
      </c>
      <c r="AL112" s="50" t="e">
        <f t="shared" si="292"/>
        <v>#DIV/0!</v>
      </c>
      <c r="AM112" s="50" t="e">
        <f t="shared" si="293"/>
        <v>#DIV/0!</v>
      </c>
      <c r="AN112" s="42" t="e">
        <f t="shared" si="294"/>
        <v>#DIV/0!</v>
      </c>
      <c r="AO112" s="51" t="e">
        <f t="shared" si="295"/>
        <v>#DIV/0!</v>
      </c>
      <c r="AP112" s="42" t="e">
        <f t="shared" si="296"/>
        <v>#DIV/0!</v>
      </c>
      <c r="AQ112" s="39">
        <f t="shared" si="297"/>
        <v>1.9599639845400536</v>
      </c>
      <c r="AR112" s="40" t="e">
        <f t="shared" si="298"/>
        <v>#DIV/0!</v>
      </c>
      <c r="AS112" s="40" t="e">
        <f t="shared" si="299"/>
        <v>#DIV/0!</v>
      </c>
      <c r="AT112" s="52" t="e">
        <f t="shared" si="300"/>
        <v>#DIV/0!</v>
      </c>
      <c r="AU112" s="52" t="e">
        <f t="shared" si="300"/>
        <v>#DIV/0!</v>
      </c>
      <c r="AV112" s="16"/>
      <c r="AX112" s="53"/>
      <c r="AY112" s="53">
        <v>1</v>
      </c>
      <c r="AZ112" s="54"/>
      <c r="BA112" s="54"/>
      <c r="BC112" s="27"/>
      <c r="BD112" s="27"/>
      <c r="BE112" s="2"/>
      <c r="BF112" s="2"/>
      <c r="BG112" s="2"/>
      <c r="BH112" s="2"/>
      <c r="BI112" s="2"/>
      <c r="BJ112" s="2"/>
      <c r="BK112" s="2"/>
      <c r="BL112" s="2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</row>
    <row r="113" spans="2:75" hidden="1">
      <c r="B113" s="28" t="s">
        <v>55</v>
      </c>
      <c r="C113" s="29"/>
      <c r="D113" s="30">
        <f t="shared" si="274"/>
        <v>0</v>
      </c>
      <c r="E113" s="31"/>
      <c r="F113" s="29"/>
      <c r="G113" s="30">
        <f t="shared" si="275"/>
        <v>0</v>
      </c>
      <c r="H113" s="31"/>
      <c r="I113" s="32"/>
      <c r="K113" s="33" t="e">
        <f t="shared" si="276"/>
        <v>#DIV/0!</v>
      </c>
      <c r="L113" s="34" t="e">
        <f t="shared" si="277"/>
        <v>#DIV/0!</v>
      </c>
      <c r="M113" s="35" t="e">
        <f t="shared" si="278"/>
        <v>#DIV/0!</v>
      </c>
      <c r="N113" s="36" t="e">
        <f t="shared" si="279"/>
        <v>#DIV/0!</v>
      </c>
      <c r="O113" s="36" t="e">
        <f t="shared" si="280"/>
        <v>#DIV/0!</v>
      </c>
      <c r="P113" s="36" t="e">
        <f t="shared" si="281"/>
        <v>#DIV/0!</v>
      </c>
      <c r="Q113" s="110" t="e">
        <f t="shared" si="282"/>
        <v>#DIV/0!</v>
      </c>
      <c r="R113" s="38" t="e">
        <f t="shared" si="283"/>
        <v>#DIV/0!</v>
      </c>
      <c r="S113" s="39">
        <f t="shared" si="284"/>
        <v>1.9599639845400536</v>
      </c>
      <c r="T113" s="40" t="e">
        <f t="shared" si="285"/>
        <v>#DIV/0!</v>
      </c>
      <c r="U113" s="40" t="e">
        <f t="shared" si="286"/>
        <v>#DIV/0!</v>
      </c>
      <c r="V113" s="41" t="e">
        <f t="shared" si="287"/>
        <v>#DIV/0!</v>
      </c>
      <c r="W113" s="42" t="e">
        <f t="shared" si="287"/>
        <v>#DIV/0!</v>
      </c>
      <c r="X113" s="43"/>
      <c r="Z113" s="44" t="e">
        <f>(N113-P117)^2</f>
        <v>#DIV/0!</v>
      </c>
      <c r="AA113" s="45" t="e">
        <f t="shared" si="288"/>
        <v>#DIV/0!</v>
      </c>
      <c r="AB113" s="2">
        <v>1</v>
      </c>
      <c r="AC113" s="27"/>
      <c r="AD113" s="27"/>
      <c r="AE113" s="35" t="e">
        <f t="shared" si="289"/>
        <v>#DIV/0!</v>
      </c>
      <c r="AF113" s="46"/>
      <c r="AG113" s="47" t="e">
        <f>AG117</f>
        <v>#DIV/0!</v>
      </c>
      <c r="AH113" s="47" t="e">
        <f>AH117</f>
        <v>#DIV/0!</v>
      </c>
      <c r="AI113" s="45" t="e">
        <f t="shared" si="290"/>
        <v>#DIV/0!</v>
      </c>
      <c r="AJ113" s="48" t="e">
        <f t="shared" si="291"/>
        <v>#DIV/0!</v>
      </c>
      <c r="AK113" s="49" t="e">
        <f>AJ113/AJ117</f>
        <v>#DIV/0!</v>
      </c>
      <c r="AL113" s="50" t="e">
        <f t="shared" si="292"/>
        <v>#DIV/0!</v>
      </c>
      <c r="AM113" s="50" t="e">
        <f t="shared" si="293"/>
        <v>#DIV/0!</v>
      </c>
      <c r="AN113" s="42" t="e">
        <f t="shared" si="294"/>
        <v>#DIV/0!</v>
      </c>
      <c r="AO113" s="51" t="e">
        <f t="shared" si="295"/>
        <v>#DIV/0!</v>
      </c>
      <c r="AP113" s="42" t="e">
        <f t="shared" si="296"/>
        <v>#DIV/0!</v>
      </c>
      <c r="AQ113" s="39">
        <f t="shared" si="297"/>
        <v>1.9599639845400536</v>
      </c>
      <c r="AR113" s="40" t="e">
        <f t="shared" si="298"/>
        <v>#DIV/0!</v>
      </c>
      <c r="AS113" s="40" t="e">
        <f t="shared" si="299"/>
        <v>#DIV/0!</v>
      </c>
      <c r="AT113" s="52" t="e">
        <f t="shared" si="300"/>
        <v>#DIV/0!</v>
      </c>
      <c r="AU113" s="52" t="e">
        <f t="shared" si="300"/>
        <v>#DIV/0!</v>
      </c>
      <c r="AV113" s="16"/>
      <c r="AX113" s="53"/>
      <c r="AY113" s="53">
        <v>1</v>
      </c>
      <c r="AZ113" s="54"/>
      <c r="BA113" s="54"/>
      <c r="BC113" s="27"/>
      <c r="BD113" s="27"/>
      <c r="BE113" s="2"/>
      <c r="BF113" s="2"/>
      <c r="BG113" s="2"/>
      <c r="BH113" s="2"/>
      <c r="BI113" s="2"/>
      <c r="BJ113" s="2"/>
      <c r="BK113" s="2"/>
      <c r="BL113" s="2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</row>
    <row r="114" spans="2:75" hidden="1">
      <c r="B114" s="28" t="s">
        <v>56</v>
      </c>
      <c r="C114" s="29"/>
      <c r="D114" s="30">
        <f t="shared" si="274"/>
        <v>0</v>
      </c>
      <c r="E114" s="31"/>
      <c r="F114" s="29"/>
      <c r="G114" s="30">
        <f t="shared" si="275"/>
        <v>0</v>
      </c>
      <c r="H114" s="31"/>
      <c r="I114" s="32"/>
      <c r="K114" s="33" t="e">
        <f t="shared" si="276"/>
        <v>#DIV/0!</v>
      </c>
      <c r="L114" s="34" t="e">
        <f t="shared" si="277"/>
        <v>#DIV/0!</v>
      </c>
      <c r="M114" s="35" t="e">
        <f t="shared" si="278"/>
        <v>#DIV/0!</v>
      </c>
      <c r="N114" s="36" t="e">
        <f t="shared" si="279"/>
        <v>#DIV/0!</v>
      </c>
      <c r="O114" s="36" t="e">
        <f t="shared" si="280"/>
        <v>#DIV/0!</v>
      </c>
      <c r="P114" s="36" t="e">
        <f t="shared" si="281"/>
        <v>#DIV/0!</v>
      </c>
      <c r="Q114" s="110" t="e">
        <f t="shared" si="282"/>
        <v>#DIV/0!</v>
      </c>
      <c r="R114" s="38" t="e">
        <f t="shared" si="283"/>
        <v>#DIV/0!</v>
      </c>
      <c r="S114" s="39">
        <f t="shared" si="284"/>
        <v>1.9599639845400536</v>
      </c>
      <c r="T114" s="40" t="e">
        <f t="shared" si="285"/>
        <v>#DIV/0!</v>
      </c>
      <c r="U114" s="40" t="e">
        <f t="shared" si="286"/>
        <v>#DIV/0!</v>
      </c>
      <c r="V114" s="41" t="e">
        <f t="shared" si="287"/>
        <v>#DIV/0!</v>
      </c>
      <c r="W114" s="42" t="e">
        <f t="shared" si="287"/>
        <v>#DIV/0!</v>
      </c>
      <c r="X114" s="43"/>
      <c r="Z114" s="44" t="e">
        <f>(N114-P117)^2</f>
        <v>#DIV/0!</v>
      </c>
      <c r="AA114" s="45" t="e">
        <f t="shared" si="288"/>
        <v>#DIV/0!</v>
      </c>
      <c r="AB114" s="2">
        <v>1</v>
      </c>
      <c r="AC114" s="27"/>
      <c r="AD114" s="27"/>
      <c r="AE114" s="35" t="e">
        <f t="shared" si="289"/>
        <v>#DIV/0!</v>
      </c>
      <c r="AF114" s="46"/>
      <c r="AG114" s="47" t="e">
        <f>AG117</f>
        <v>#DIV/0!</v>
      </c>
      <c r="AH114" s="47" t="e">
        <f>AH117</f>
        <v>#DIV/0!</v>
      </c>
      <c r="AI114" s="45" t="e">
        <f t="shared" si="290"/>
        <v>#DIV/0!</v>
      </c>
      <c r="AJ114" s="48" t="e">
        <f t="shared" si="291"/>
        <v>#DIV/0!</v>
      </c>
      <c r="AK114" s="49" t="e">
        <f>AJ114/AJ117</f>
        <v>#DIV/0!</v>
      </c>
      <c r="AL114" s="50" t="e">
        <f t="shared" si="292"/>
        <v>#DIV/0!</v>
      </c>
      <c r="AM114" s="50" t="e">
        <f t="shared" si="293"/>
        <v>#DIV/0!</v>
      </c>
      <c r="AN114" s="42" t="e">
        <f t="shared" si="294"/>
        <v>#DIV/0!</v>
      </c>
      <c r="AO114" s="51" t="e">
        <f t="shared" si="295"/>
        <v>#DIV/0!</v>
      </c>
      <c r="AP114" s="42" t="e">
        <f t="shared" si="296"/>
        <v>#DIV/0!</v>
      </c>
      <c r="AQ114" s="39">
        <f t="shared" si="297"/>
        <v>1.9599639845400536</v>
      </c>
      <c r="AR114" s="40" t="e">
        <f t="shared" si="298"/>
        <v>#DIV/0!</v>
      </c>
      <c r="AS114" s="40" t="e">
        <f t="shared" si="299"/>
        <v>#DIV/0!</v>
      </c>
      <c r="AT114" s="52" t="e">
        <f t="shared" si="300"/>
        <v>#DIV/0!</v>
      </c>
      <c r="AU114" s="52" t="e">
        <f t="shared" si="300"/>
        <v>#DIV/0!</v>
      </c>
      <c r="AV114" s="16"/>
      <c r="AX114" s="53"/>
      <c r="AY114" s="53">
        <v>1</v>
      </c>
      <c r="AZ114" s="54"/>
      <c r="BA114" s="54"/>
      <c r="BC114" s="27"/>
      <c r="BD114" s="27"/>
      <c r="BE114" s="2"/>
      <c r="BF114" s="2"/>
      <c r="BG114" s="2"/>
      <c r="BH114" s="2"/>
      <c r="BI114" s="2"/>
      <c r="BJ114" s="2"/>
      <c r="BK114" s="2"/>
      <c r="BL114" s="2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</row>
    <row r="115" spans="2:75" hidden="1">
      <c r="B115" s="28" t="s">
        <v>57</v>
      </c>
      <c r="C115" s="29"/>
      <c r="D115" s="30">
        <f t="shared" si="274"/>
        <v>0</v>
      </c>
      <c r="E115" s="31"/>
      <c r="F115" s="29"/>
      <c r="G115" s="30">
        <f t="shared" si="275"/>
        <v>0</v>
      </c>
      <c r="H115" s="31"/>
      <c r="I115" s="32"/>
      <c r="K115" s="33" t="e">
        <f t="shared" si="276"/>
        <v>#DIV/0!</v>
      </c>
      <c r="L115" s="34" t="e">
        <f t="shared" si="277"/>
        <v>#DIV/0!</v>
      </c>
      <c r="M115" s="35" t="e">
        <f t="shared" si="278"/>
        <v>#DIV/0!</v>
      </c>
      <c r="N115" s="36" t="e">
        <f t="shared" si="279"/>
        <v>#DIV/0!</v>
      </c>
      <c r="O115" s="36" t="e">
        <f t="shared" si="280"/>
        <v>#DIV/0!</v>
      </c>
      <c r="P115" s="36" t="e">
        <f t="shared" si="281"/>
        <v>#DIV/0!</v>
      </c>
      <c r="Q115" s="110" t="e">
        <f t="shared" si="282"/>
        <v>#DIV/0!</v>
      </c>
      <c r="R115" s="38" t="e">
        <f t="shared" si="283"/>
        <v>#DIV/0!</v>
      </c>
      <c r="S115" s="39">
        <f t="shared" si="284"/>
        <v>1.9599639845400536</v>
      </c>
      <c r="T115" s="40" t="e">
        <f t="shared" si="285"/>
        <v>#DIV/0!</v>
      </c>
      <c r="U115" s="40" t="e">
        <f t="shared" si="286"/>
        <v>#DIV/0!</v>
      </c>
      <c r="V115" s="41" t="e">
        <f t="shared" si="287"/>
        <v>#DIV/0!</v>
      </c>
      <c r="W115" s="42" t="e">
        <f t="shared" si="287"/>
        <v>#DIV/0!</v>
      </c>
      <c r="X115" s="43"/>
      <c r="Z115" s="44" t="e">
        <f>(N115-P117)^2</f>
        <v>#DIV/0!</v>
      </c>
      <c r="AA115" s="45" t="e">
        <f t="shared" si="288"/>
        <v>#DIV/0!</v>
      </c>
      <c r="AB115" s="2">
        <v>1</v>
      </c>
      <c r="AC115" s="27"/>
      <c r="AD115" s="27"/>
      <c r="AE115" s="35" t="e">
        <f t="shared" si="289"/>
        <v>#DIV/0!</v>
      </c>
      <c r="AF115" s="46"/>
      <c r="AG115" s="47" t="e">
        <f>AG117</f>
        <v>#DIV/0!</v>
      </c>
      <c r="AH115" s="47" t="e">
        <f>AH117</f>
        <v>#DIV/0!</v>
      </c>
      <c r="AI115" s="45" t="e">
        <f t="shared" si="290"/>
        <v>#DIV/0!</v>
      </c>
      <c r="AJ115" s="48" t="e">
        <f t="shared" si="291"/>
        <v>#DIV/0!</v>
      </c>
      <c r="AK115" s="49" t="e">
        <f>AJ115/AJ117</f>
        <v>#DIV/0!</v>
      </c>
      <c r="AL115" s="50" t="e">
        <f t="shared" si="292"/>
        <v>#DIV/0!</v>
      </c>
      <c r="AM115" s="50" t="e">
        <f t="shared" si="293"/>
        <v>#DIV/0!</v>
      </c>
      <c r="AN115" s="42" t="e">
        <f t="shared" si="294"/>
        <v>#DIV/0!</v>
      </c>
      <c r="AO115" s="51" t="e">
        <f t="shared" si="295"/>
        <v>#DIV/0!</v>
      </c>
      <c r="AP115" s="42" t="e">
        <f t="shared" si="296"/>
        <v>#DIV/0!</v>
      </c>
      <c r="AQ115" s="39">
        <f t="shared" si="297"/>
        <v>1.9599639845400536</v>
      </c>
      <c r="AR115" s="40" t="e">
        <f t="shared" si="298"/>
        <v>#DIV/0!</v>
      </c>
      <c r="AS115" s="40" t="e">
        <f t="shared" si="299"/>
        <v>#DIV/0!</v>
      </c>
      <c r="AT115" s="52" t="e">
        <f t="shared" si="300"/>
        <v>#DIV/0!</v>
      </c>
      <c r="AU115" s="52" t="e">
        <f t="shared" si="300"/>
        <v>#DIV/0!</v>
      </c>
      <c r="AV115" s="16"/>
      <c r="AX115" s="53"/>
      <c r="AY115" s="53">
        <v>1</v>
      </c>
      <c r="AZ115" s="54"/>
      <c r="BA115" s="54"/>
      <c r="BC115" s="27"/>
      <c r="BD115" s="27"/>
      <c r="BE115" s="2"/>
      <c r="BF115" s="2"/>
      <c r="BG115" s="2"/>
      <c r="BH115" s="2"/>
      <c r="BI115" s="2"/>
      <c r="BJ115" s="2"/>
      <c r="BK115" s="2"/>
      <c r="BL115" s="2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</row>
    <row r="116" spans="2:75" hidden="1">
      <c r="B116" s="28" t="s">
        <v>58</v>
      </c>
      <c r="C116" s="29"/>
      <c r="D116" s="30">
        <f t="shared" si="274"/>
        <v>0</v>
      </c>
      <c r="E116" s="31"/>
      <c r="F116" s="29"/>
      <c r="G116" s="30">
        <f t="shared" si="275"/>
        <v>0</v>
      </c>
      <c r="H116" s="31"/>
      <c r="I116" s="32"/>
      <c r="K116" s="33" t="e">
        <f t="shared" si="276"/>
        <v>#DIV/0!</v>
      </c>
      <c r="L116" s="34" t="e">
        <f>(D116/(C116*E116)+(G116/(F116*H116)))</f>
        <v>#DIV/0!</v>
      </c>
      <c r="M116" s="35" t="e">
        <f t="shared" si="278"/>
        <v>#DIV/0!</v>
      </c>
      <c r="N116" s="36" t="e">
        <f t="shared" si="279"/>
        <v>#DIV/0!</v>
      </c>
      <c r="O116" s="36" t="e">
        <f t="shared" si="280"/>
        <v>#DIV/0!</v>
      </c>
      <c r="P116" s="36" t="e">
        <f t="shared" si="281"/>
        <v>#DIV/0!</v>
      </c>
      <c r="Q116" s="110" t="e">
        <f t="shared" si="282"/>
        <v>#DIV/0!</v>
      </c>
      <c r="R116" s="38" t="e">
        <f t="shared" si="283"/>
        <v>#DIV/0!</v>
      </c>
      <c r="S116" s="39">
        <f t="shared" si="284"/>
        <v>1.9599639845400536</v>
      </c>
      <c r="T116" s="40" t="e">
        <f t="shared" si="285"/>
        <v>#DIV/0!</v>
      </c>
      <c r="U116" s="40" t="e">
        <f t="shared" si="286"/>
        <v>#DIV/0!</v>
      </c>
      <c r="V116" s="41" t="e">
        <f t="shared" si="287"/>
        <v>#DIV/0!</v>
      </c>
      <c r="W116" s="42" t="e">
        <f t="shared" si="287"/>
        <v>#DIV/0!</v>
      </c>
      <c r="X116" s="43"/>
      <c r="Z116" s="44" t="e">
        <f>(N116-P117)^2</f>
        <v>#DIV/0!</v>
      </c>
      <c r="AA116" s="45" t="e">
        <f t="shared" si="288"/>
        <v>#DIV/0!</v>
      </c>
      <c r="AB116" s="2">
        <v>1</v>
      </c>
      <c r="AC116" s="27"/>
      <c r="AD116" s="27"/>
      <c r="AE116" s="35" t="e">
        <f t="shared" si="289"/>
        <v>#DIV/0!</v>
      </c>
      <c r="AF116" s="46"/>
      <c r="AG116" s="47" t="e">
        <f>AG117</f>
        <v>#DIV/0!</v>
      </c>
      <c r="AH116" s="47" t="e">
        <f>AH117</f>
        <v>#DIV/0!</v>
      </c>
      <c r="AI116" s="45" t="e">
        <f t="shared" si="290"/>
        <v>#DIV/0!</v>
      </c>
      <c r="AJ116" s="48" t="e">
        <f t="shared" si="291"/>
        <v>#DIV/0!</v>
      </c>
      <c r="AK116" s="49" t="e">
        <f>AJ116/AJ117</f>
        <v>#DIV/0!</v>
      </c>
      <c r="AL116" s="50" t="e">
        <f t="shared" si="292"/>
        <v>#DIV/0!</v>
      </c>
      <c r="AM116" s="50" t="e">
        <f t="shared" si="293"/>
        <v>#DIV/0!</v>
      </c>
      <c r="AN116" s="42" t="e">
        <f t="shared" si="294"/>
        <v>#DIV/0!</v>
      </c>
      <c r="AO116" s="51" t="e">
        <f t="shared" si="295"/>
        <v>#DIV/0!</v>
      </c>
      <c r="AP116" s="42" t="e">
        <f t="shared" si="296"/>
        <v>#DIV/0!</v>
      </c>
      <c r="AQ116" s="39">
        <f t="shared" si="297"/>
        <v>1.9599639845400536</v>
      </c>
      <c r="AR116" s="40" t="e">
        <f t="shared" si="298"/>
        <v>#DIV/0!</v>
      </c>
      <c r="AS116" s="40" t="e">
        <f t="shared" si="299"/>
        <v>#DIV/0!</v>
      </c>
      <c r="AT116" s="52" t="e">
        <f t="shared" si="300"/>
        <v>#DIV/0!</v>
      </c>
      <c r="AU116" s="52" t="e">
        <f t="shared" si="300"/>
        <v>#DIV/0!</v>
      </c>
      <c r="AV116" s="16"/>
      <c r="AX116" s="53"/>
      <c r="AY116" s="53">
        <v>1</v>
      </c>
      <c r="AZ116" s="54"/>
      <c r="BA116" s="54"/>
      <c r="BC116" s="27"/>
      <c r="BD116" s="27"/>
      <c r="BE116" s="2"/>
      <c r="BF116" s="2"/>
      <c r="BG116" s="2"/>
      <c r="BH116" s="2"/>
      <c r="BI116" s="2"/>
      <c r="BJ116" s="2"/>
      <c r="BK116" s="2"/>
      <c r="BL116" s="2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</row>
    <row r="117" spans="2:75" hidden="1">
      <c r="B117" s="55">
        <f>COUNT(D108:D116)</f>
        <v>9</v>
      </c>
      <c r="C117" s="56">
        <f t="shared" ref="C117:H117" si="301">SUM(C108:C116)</f>
        <v>0</v>
      </c>
      <c r="D117" s="56">
        <f t="shared" si="301"/>
        <v>0</v>
      </c>
      <c r="E117" s="56">
        <f t="shared" si="301"/>
        <v>0</v>
      </c>
      <c r="F117" s="56">
        <f t="shared" si="301"/>
        <v>0</v>
      </c>
      <c r="G117" s="56">
        <f t="shared" si="301"/>
        <v>0</v>
      </c>
      <c r="H117" s="56">
        <f t="shared" si="301"/>
        <v>0</v>
      </c>
      <c r="I117" s="57"/>
      <c r="K117" s="58"/>
      <c r="L117" s="112"/>
      <c r="M117" s="60" t="e">
        <f>SUM(M108:M116)</f>
        <v>#DIV/0!</v>
      </c>
      <c r="N117" s="61"/>
      <c r="O117" s="62" t="e">
        <f>SUM(O108:O116)</f>
        <v>#DIV/0!</v>
      </c>
      <c r="P117" s="63" t="e">
        <f>O117/M117</f>
        <v>#DIV/0!</v>
      </c>
      <c r="Q117" s="488" t="e">
        <f>EXP(P117)</f>
        <v>#DIV/0!</v>
      </c>
      <c r="R117" s="488" t="e">
        <f>SQRT(1/M117)</f>
        <v>#DIV/0!</v>
      </c>
      <c r="S117" s="489">
        <f t="shared" si="284"/>
        <v>1.9599639845400536</v>
      </c>
      <c r="T117" s="490" t="e">
        <f>P117-(R117*S117)</f>
        <v>#DIV/0!</v>
      </c>
      <c r="U117" s="490" t="e">
        <f>P117+(R117*S117)</f>
        <v>#DIV/0!</v>
      </c>
      <c r="V117" s="491" t="e">
        <f>EXP(T117)</f>
        <v>#DIV/0!</v>
      </c>
      <c r="W117" s="492" t="e">
        <f>EXP(U117)</f>
        <v>#DIV/0!</v>
      </c>
      <c r="X117" s="65"/>
      <c r="Y117" s="65"/>
      <c r="Z117" s="66"/>
      <c r="AA117" s="67" t="e">
        <f>SUM(AA108:AA116)</f>
        <v>#DIV/0!</v>
      </c>
      <c r="AB117" s="68">
        <f>SUM(AB108:AB116)</f>
        <v>9</v>
      </c>
      <c r="AC117" s="69" t="e">
        <f>AA117-(AB117-1)</f>
        <v>#DIV/0!</v>
      </c>
      <c r="AD117" s="60" t="e">
        <f>M117</f>
        <v>#DIV/0!</v>
      </c>
      <c r="AE117" s="60" t="e">
        <f>SUM(AE108:AE116)</f>
        <v>#DIV/0!</v>
      </c>
      <c r="AF117" s="70" t="e">
        <f>AE117/AD117</f>
        <v>#DIV/0!</v>
      </c>
      <c r="AG117" s="71" t="e">
        <f>AC117/(AD117-AF117)</f>
        <v>#DIV/0!</v>
      </c>
      <c r="AH117" s="71" t="e">
        <f>IF(AA117&lt;AB117-1,"0",AG117)</f>
        <v>#DIV/0!</v>
      </c>
      <c r="AI117" s="66"/>
      <c r="AJ117" s="60" t="e">
        <f>SUM(AJ108:AJ116)</f>
        <v>#DIV/0!</v>
      </c>
      <c r="AK117" s="72" t="e">
        <f>SUM(AK108:AK116)</f>
        <v>#DIV/0!</v>
      </c>
      <c r="AL117" s="69" t="e">
        <f>SUM(AL108:AL116)</f>
        <v>#DIV/0!</v>
      </c>
      <c r="AM117" s="69" t="e">
        <f>AL117/AJ117</f>
        <v>#DIV/0!</v>
      </c>
      <c r="AN117" s="493" t="e">
        <f>EXP(AM117)</f>
        <v>#DIV/0!</v>
      </c>
      <c r="AO117" s="73" t="e">
        <f>1/AJ117</f>
        <v>#DIV/0!</v>
      </c>
      <c r="AP117" s="74" t="e">
        <f>SQRT(AO117)</f>
        <v>#DIV/0!</v>
      </c>
      <c r="AQ117" s="39">
        <f t="shared" si="297"/>
        <v>1.9599639845400536</v>
      </c>
      <c r="AR117" s="64" t="e">
        <f>AM117-(AQ117*AP117)</f>
        <v>#DIV/0!</v>
      </c>
      <c r="AS117" s="64" t="e">
        <f>AM117+(1.96*AP117)</f>
        <v>#DIV/0!</v>
      </c>
      <c r="AT117" s="494" t="e">
        <f>EXP(AR117)</f>
        <v>#DIV/0!</v>
      </c>
      <c r="AU117" s="494" t="e">
        <f>EXP(AS117)</f>
        <v>#DIV/0!</v>
      </c>
      <c r="AV117" s="75"/>
      <c r="AW117" s="76"/>
      <c r="AX117" s="77" t="e">
        <f>AA117</f>
        <v>#DIV/0!</v>
      </c>
      <c r="AY117" s="55">
        <f>SUM(AY108:AY116)</f>
        <v>9</v>
      </c>
      <c r="AZ117" s="78" t="e">
        <f>(AX117-(AY117-1))/AX117</f>
        <v>#DIV/0!</v>
      </c>
      <c r="BA117" s="79" t="e">
        <f>IF(AA117&lt;AB117-1,"0%",AZ117)</f>
        <v>#DIV/0!</v>
      </c>
      <c r="BB117" s="76"/>
      <c r="BC117" s="62" t="e">
        <f>AX117/(AY117-1)</f>
        <v>#DIV/0!</v>
      </c>
      <c r="BD117" s="80" t="e">
        <f>LN(BC117)</f>
        <v>#DIV/0!</v>
      </c>
      <c r="BE117" s="62" t="e">
        <f>LN(AX117)</f>
        <v>#DIV/0!</v>
      </c>
      <c r="BF117" s="62">
        <f>LN(AY117-1)</f>
        <v>2.0794415416798357</v>
      </c>
      <c r="BG117" s="62" t="e">
        <f>SQRT(2*AX117)</f>
        <v>#DIV/0!</v>
      </c>
      <c r="BH117" s="62">
        <f>SQRT(2*AY117-3)</f>
        <v>3.872983346207417</v>
      </c>
      <c r="BI117" s="62">
        <f>2*(AY117-2)</f>
        <v>14</v>
      </c>
      <c r="BJ117" s="62">
        <f>3*(AY117-2)^2</f>
        <v>147</v>
      </c>
      <c r="BK117" s="62">
        <f>1/BI117</f>
        <v>7.1428571428571425E-2</v>
      </c>
      <c r="BL117" s="81">
        <f>1/BJ117</f>
        <v>6.8027210884353739E-3</v>
      </c>
      <c r="BM117" s="81">
        <f>SQRT(BK117*(1-BL117))</f>
        <v>0.26635063878165838</v>
      </c>
      <c r="BN117" s="82" t="e">
        <f>0.5*(BE117-BF117)/(BG117-BH117)</f>
        <v>#DIV/0!</v>
      </c>
      <c r="BO117" s="82" t="e">
        <f>IF(AA117&lt;=AB117,BM117,BN117)</f>
        <v>#DIV/0!</v>
      </c>
      <c r="BP117" s="69" t="e">
        <f>BD117-(1.96*BO117)</f>
        <v>#DIV/0!</v>
      </c>
      <c r="BQ117" s="69" t="e">
        <f>BD117+(1.96*BO117)</f>
        <v>#DIV/0!</v>
      </c>
      <c r="BR117" s="69"/>
      <c r="BS117" s="80" t="e">
        <f>EXP(BP117)</f>
        <v>#DIV/0!</v>
      </c>
      <c r="BT117" s="80" t="e">
        <f>EXP(BQ117)</f>
        <v>#DIV/0!</v>
      </c>
      <c r="BU117" s="83" t="e">
        <f>BA117</f>
        <v>#DIV/0!</v>
      </c>
      <c r="BV117" s="83" t="e">
        <f>(BS117-1)/BS117</f>
        <v>#DIV/0!</v>
      </c>
      <c r="BW117" s="83" t="e">
        <f>(BT117-1)/BT117</f>
        <v>#DIV/0!</v>
      </c>
    </row>
    <row r="118" spans="2:75" ht="13.5" hidden="1" thickBot="1">
      <c r="C118" s="84">
        <f>C117+F117</f>
        <v>0</v>
      </c>
      <c r="D118" s="84"/>
      <c r="E118" s="84"/>
      <c r="F118" s="84"/>
      <c r="G118" s="84"/>
      <c r="H118" s="84"/>
      <c r="I118" s="85"/>
      <c r="R118" s="86"/>
      <c r="S118" s="86"/>
      <c r="T118" s="86"/>
      <c r="U118" s="86"/>
      <c r="V118" s="86"/>
      <c r="W118" s="86"/>
      <c r="X118" s="86"/>
      <c r="AB118" s="87"/>
      <c r="AC118" s="88"/>
      <c r="AD118" s="89"/>
      <c r="AE118" s="88"/>
      <c r="AF118" s="90"/>
      <c r="AG118" s="90"/>
      <c r="AH118" s="90"/>
      <c r="AI118" s="90"/>
      <c r="AT118" s="91"/>
      <c r="AU118" s="91"/>
      <c r="AV118" s="91"/>
      <c r="AX118" s="5" t="s">
        <v>59</v>
      </c>
      <c r="BG118" s="10"/>
      <c r="BN118" s="88" t="s">
        <v>60</v>
      </c>
      <c r="BT118" s="92" t="s">
        <v>61</v>
      </c>
      <c r="BU118" s="495" t="e">
        <f>BU117</f>
        <v>#DIV/0!</v>
      </c>
      <c r="BV118" s="495" t="e">
        <f>IF(BV117&lt;0,"0%",BV117)</f>
        <v>#DIV/0!</v>
      </c>
      <c r="BW118" s="496" t="e">
        <f>IF(BW117&lt;0,"0%",BW117)</f>
        <v>#DIV/0!</v>
      </c>
    </row>
    <row r="119" spans="2:75" ht="26.5" hidden="1" thickBot="1">
      <c r="B119" s="5"/>
      <c r="C119" s="93"/>
      <c r="D119" s="93"/>
      <c r="E119" s="93"/>
      <c r="F119" s="93"/>
      <c r="G119" s="93"/>
      <c r="H119" s="93"/>
      <c r="I119" s="94"/>
      <c r="J119" s="5"/>
      <c r="K119" s="5"/>
      <c r="R119" s="95"/>
      <c r="S119" s="95"/>
      <c r="T119" s="95"/>
      <c r="U119" s="95"/>
      <c r="V119" s="95"/>
      <c r="W119" s="95"/>
      <c r="X119" s="95"/>
      <c r="AF119" s="1"/>
      <c r="AI119" s="10"/>
      <c r="AJ119" s="96"/>
      <c r="AK119" s="96"/>
      <c r="AL119" s="97"/>
      <c r="AM119" s="98"/>
      <c r="AO119" s="99" t="s">
        <v>62</v>
      </c>
      <c r="AP119" s="100">
        <f>TINV((1-$H$1),(AB117-2))</f>
        <v>2.3646242515927849</v>
      </c>
      <c r="AR119" s="497" t="s">
        <v>63</v>
      </c>
      <c r="AS119" s="101">
        <f>$H$1</f>
        <v>0.95</v>
      </c>
      <c r="AT119" s="498" t="e">
        <f>EXP(AM117-AP119*SQRT((1/AD117)+AH117))</f>
        <v>#DIV/0!</v>
      </c>
      <c r="AU119" s="498" t="e">
        <f>EXP(AM117+AP119*SQRT((1/AD117)+AH117))</f>
        <v>#DIV/0!</v>
      </c>
      <c r="AV119" s="16"/>
      <c r="AX119" s="102" t="e">
        <f>_xlfn.CHISQ.DIST.RT(AX117,AY117-1)</f>
        <v>#DIV/0!</v>
      </c>
      <c r="AY119" s="103" t="e">
        <f>IF(AX119&lt;0.05,"heterogeneidad","homogeneidad")</f>
        <v>#DIV/0!</v>
      </c>
      <c r="BF119" s="104"/>
      <c r="BG119" s="10"/>
      <c r="BH119" s="10"/>
      <c r="BJ119" s="43"/>
      <c r="BL119" s="10"/>
      <c r="BM119" s="105"/>
      <c r="BQ119" s="10"/>
    </row>
    <row r="120" spans="2:75" ht="14.5" hidden="1">
      <c r="B120" s="5"/>
      <c r="C120" s="93"/>
      <c r="D120" s="93"/>
      <c r="E120" s="93"/>
      <c r="F120" s="93"/>
      <c r="G120" s="93"/>
      <c r="H120" s="93"/>
      <c r="I120" s="94"/>
      <c r="J120" s="5"/>
      <c r="K120" s="5"/>
      <c r="R120" s="95"/>
      <c r="S120" s="95"/>
      <c r="T120" s="95"/>
      <c r="U120" s="95"/>
      <c r="V120" s="95"/>
      <c r="W120" s="95"/>
      <c r="X120" s="95"/>
      <c r="AF120" s="1"/>
      <c r="AI120" s="10"/>
      <c r="AJ120" s="96"/>
      <c r="AK120" s="96"/>
      <c r="AL120" s="97"/>
      <c r="AM120" s="98"/>
      <c r="AN120" s="106"/>
      <c r="AO120" s="107"/>
      <c r="AP120" s="13"/>
      <c r="AS120" s="108"/>
      <c r="AT120" s="16"/>
      <c r="AU120" s="16"/>
      <c r="AV120" s="16"/>
      <c r="BF120" s="104"/>
      <c r="BG120" s="10"/>
      <c r="BH120" s="10"/>
      <c r="BJ120" s="43"/>
      <c r="BL120" s="10"/>
      <c r="BM120" s="109"/>
      <c r="BQ120" s="10"/>
    </row>
    <row r="121" spans="2:75" ht="13" hidden="1" customHeight="1">
      <c r="C121" s="84"/>
      <c r="D121" s="84"/>
      <c r="E121" s="84"/>
      <c r="F121" s="84"/>
      <c r="G121" s="84"/>
      <c r="H121" s="84"/>
      <c r="I121" s="85"/>
      <c r="J121" s="668" t="s">
        <v>4</v>
      </c>
      <c r="K121" s="669"/>
      <c r="L121" s="669"/>
      <c r="M121" s="669"/>
      <c r="N121" s="669"/>
      <c r="O121" s="669"/>
      <c r="P121" s="669"/>
      <c r="Q121" s="669"/>
      <c r="R121" s="669"/>
      <c r="S121" s="669"/>
      <c r="T121" s="669"/>
      <c r="U121" s="669"/>
      <c r="V121" s="669"/>
      <c r="W121" s="670"/>
      <c r="X121" s="11"/>
      <c r="Y121" s="668" t="s">
        <v>5</v>
      </c>
      <c r="Z121" s="669"/>
      <c r="AA121" s="669"/>
      <c r="AB121" s="669"/>
      <c r="AC121" s="669"/>
      <c r="AD121" s="669"/>
      <c r="AE121" s="669"/>
      <c r="AF121" s="669"/>
      <c r="AG121" s="669"/>
      <c r="AH121" s="669"/>
      <c r="AI121" s="669"/>
      <c r="AJ121" s="669"/>
      <c r="AK121" s="669"/>
      <c r="AL121" s="669"/>
      <c r="AM121" s="669"/>
      <c r="AN121" s="669"/>
      <c r="AO121" s="669"/>
      <c r="AP121" s="669"/>
      <c r="AQ121" s="669"/>
      <c r="AR121" s="669"/>
      <c r="AS121" s="669"/>
      <c r="AT121" s="669"/>
      <c r="AU121" s="670"/>
      <c r="AV121" s="11"/>
      <c r="AW121" s="668" t="s">
        <v>232</v>
      </c>
      <c r="AX121" s="669"/>
      <c r="AY121" s="669"/>
      <c r="AZ121" s="669"/>
      <c r="BA121" s="669"/>
      <c r="BB121" s="669"/>
      <c r="BC121" s="669"/>
      <c r="BD121" s="669"/>
      <c r="BE121" s="669"/>
      <c r="BF121" s="669"/>
      <c r="BG121" s="669"/>
      <c r="BH121" s="669"/>
      <c r="BI121" s="669"/>
      <c r="BJ121" s="669"/>
      <c r="BK121" s="669"/>
      <c r="BL121" s="669"/>
      <c r="BM121" s="669"/>
      <c r="BN121" s="669"/>
      <c r="BO121" s="669"/>
      <c r="BP121" s="669"/>
      <c r="BQ121" s="669"/>
      <c r="BR121" s="669"/>
      <c r="BS121" s="669"/>
      <c r="BT121" s="669"/>
      <c r="BU121" s="669"/>
      <c r="BV121" s="669"/>
      <c r="BW121" s="670"/>
    </row>
    <row r="122" spans="2:75" hidden="1">
      <c r="B122" s="12" t="s">
        <v>6</v>
      </c>
      <c r="C122" s="677" t="s">
        <v>7</v>
      </c>
      <c r="D122" s="677"/>
      <c r="E122" s="677"/>
      <c r="F122" s="677" t="s">
        <v>8</v>
      </c>
      <c r="G122" s="677"/>
      <c r="H122" s="677"/>
      <c r="I122" s="13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</row>
    <row r="123" spans="2:75" ht="60" hidden="1">
      <c r="B123" s="503"/>
      <c r="C123" s="15" t="s">
        <v>9</v>
      </c>
      <c r="D123" s="15" t="s">
        <v>10</v>
      </c>
      <c r="E123" s="15" t="s">
        <v>11</v>
      </c>
      <c r="F123" s="15" t="s">
        <v>9</v>
      </c>
      <c r="G123" s="15" t="s">
        <v>10</v>
      </c>
      <c r="H123" s="15" t="s">
        <v>11</v>
      </c>
      <c r="I123" s="16"/>
      <c r="K123" s="17" t="s">
        <v>12</v>
      </c>
      <c r="L123" s="17" t="s">
        <v>13</v>
      </c>
      <c r="M123" s="17" t="s">
        <v>14</v>
      </c>
      <c r="N123" s="18" t="s">
        <v>15</v>
      </c>
      <c r="O123" s="18" t="s">
        <v>16</v>
      </c>
      <c r="P123" s="18" t="s">
        <v>17</v>
      </c>
      <c r="Q123" s="486" t="s">
        <v>18</v>
      </c>
      <c r="R123" s="486" t="s">
        <v>19</v>
      </c>
      <c r="S123" s="487" t="s">
        <v>3</v>
      </c>
      <c r="T123" s="486" t="s">
        <v>20</v>
      </c>
      <c r="U123" s="486" t="s">
        <v>21</v>
      </c>
      <c r="V123" s="486" t="s">
        <v>22</v>
      </c>
      <c r="W123" s="486" t="s">
        <v>22</v>
      </c>
      <c r="X123" s="19"/>
      <c r="Y123" s="20"/>
      <c r="Z123" s="21" t="s">
        <v>23</v>
      </c>
      <c r="AA123" s="18" t="s">
        <v>24</v>
      </c>
      <c r="AB123" s="3" t="s">
        <v>25</v>
      </c>
      <c r="AC123" s="3" t="s">
        <v>26</v>
      </c>
      <c r="AD123" s="3" t="s">
        <v>27</v>
      </c>
      <c r="AE123" s="18" t="s">
        <v>28</v>
      </c>
      <c r="AF123" s="18" t="s">
        <v>29</v>
      </c>
      <c r="AG123" s="22" t="s">
        <v>30</v>
      </c>
      <c r="AH123" s="22" t="s">
        <v>31</v>
      </c>
      <c r="AI123" s="3" t="s">
        <v>32</v>
      </c>
      <c r="AJ123" s="18" t="s">
        <v>33</v>
      </c>
      <c r="AK123" s="18" t="s">
        <v>34</v>
      </c>
      <c r="AL123" s="18" t="s">
        <v>35</v>
      </c>
      <c r="AM123" s="3" t="s">
        <v>36</v>
      </c>
      <c r="AN123" s="487" t="s">
        <v>37</v>
      </c>
      <c r="AO123" s="18" t="s">
        <v>38</v>
      </c>
      <c r="AP123" s="18" t="s">
        <v>39</v>
      </c>
      <c r="AQ123" s="3" t="s">
        <v>3</v>
      </c>
      <c r="AR123" s="18" t="s">
        <v>40</v>
      </c>
      <c r="AS123" s="18" t="s">
        <v>41</v>
      </c>
      <c r="AT123" s="486" t="s">
        <v>22</v>
      </c>
      <c r="AU123" s="486" t="s">
        <v>22</v>
      </c>
      <c r="AV123" s="19"/>
      <c r="AX123" s="23" t="s">
        <v>42</v>
      </c>
      <c r="AY123" s="23" t="s">
        <v>25</v>
      </c>
      <c r="AZ123" s="24" t="s">
        <v>64</v>
      </c>
      <c r="BA123" s="25" t="s">
        <v>65</v>
      </c>
      <c r="BC123" s="3" t="s">
        <v>66</v>
      </c>
      <c r="BD123" s="3" t="s">
        <v>67</v>
      </c>
      <c r="BE123" s="3" t="s">
        <v>43</v>
      </c>
      <c r="BF123" s="3" t="s">
        <v>44</v>
      </c>
      <c r="BG123" s="3" t="s">
        <v>45</v>
      </c>
      <c r="BH123" s="3" t="s">
        <v>46</v>
      </c>
      <c r="BI123" s="3" t="s">
        <v>47</v>
      </c>
      <c r="BJ123" s="3" t="s">
        <v>68</v>
      </c>
      <c r="BK123" s="3" t="s">
        <v>48</v>
      </c>
      <c r="BL123" s="3" t="s">
        <v>49</v>
      </c>
      <c r="BM123" s="26" t="s">
        <v>69</v>
      </c>
      <c r="BN123" s="26" t="s">
        <v>70</v>
      </c>
      <c r="BO123" s="26" t="s">
        <v>71</v>
      </c>
      <c r="BP123" s="26" t="s">
        <v>72</v>
      </c>
      <c r="BQ123" s="26" t="s">
        <v>73</v>
      </c>
      <c r="BR123" s="27"/>
      <c r="BS123" s="18" t="s">
        <v>74</v>
      </c>
      <c r="BT123" s="18" t="s">
        <v>75</v>
      </c>
      <c r="BU123" s="486" t="s">
        <v>229</v>
      </c>
      <c r="BV123" s="486" t="s">
        <v>230</v>
      </c>
      <c r="BW123" s="486" t="s">
        <v>231</v>
      </c>
    </row>
    <row r="124" spans="2:75" hidden="1">
      <c r="B124" s="28" t="s">
        <v>50</v>
      </c>
      <c r="C124" s="29"/>
      <c r="D124" s="30">
        <f>E124-C124</f>
        <v>0</v>
      </c>
      <c r="E124" s="31"/>
      <c r="F124" s="29"/>
      <c r="G124" s="30">
        <f>H124-F124</f>
        <v>0</v>
      </c>
      <c r="H124" s="31"/>
      <c r="I124" s="32"/>
      <c r="K124" s="33" t="e">
        <f>(C124/E124)/(F124/H124)</f>
        <v>#DIV/0!</v>
      </c>
      <c r="L124" s="34" t="e">
        <f>(D124/(C124*E124)+(G124/(F124*H124)))</f>
        <v>#DIV/0!</v>
      </c>
      <c r="M124" s="35" t="e">
        <f>1/L124</f>
        <v>#DIV/0!</v>
      </c>
      <c r="N124" s="36" t="e">
        <f>LN(K124)</f>
        <v>#DIV/0!</v>
      </c>
      <c r="O124" s="36" t="e">
        <f>M124*N124</f>
        <v>#DIV/0!</v>
      </c>
      <c r="P124" s="36" t="e">
        <f>LN(K124)</f>
        <v>#DIV/0!</v>
      </c>
      <c r="Q124" s="110" t="e">
        <f>K124</f>
        <v>#DIV/0!</v>
      </c>
      <c r="R124" s="38" t="e">
        <f>SQRT(1/M124)</f>
        <v>#DIV/0!</v>
      </c>
      <c r="S124" s="39">
        <f>$H$2</f>
        <v>1.9599639845400536</v>
      </c>
      <c r="T124" s="40" t="e">
        <f>P124-(R124*S124)</f>
        <v>#DIV/0!</v>
      </c>
      <c r="U124" s="40" t="e">
        <f>P124+(R124*S124)</f>
        <v>#DIV/0!</v>
      </c>
      <c r="V124" s="41" t="e">
        <f>EXP(T124)</f>
        <v>#DIV/0!</v>
      </c>
      <c r="W124" s="42" t="e">
        <f>EXP(U124)</f>
        <v>#DIV/0!</v>
      </c>
      <c r="X124" s="43"/>
      <c r="Z124" s="44" t="e">
        <f>(N124-P132)^2</f>
        <v>#DIV/0!</v>
      </c>
      <c r="AA124" s="45" t="e">
        <f>M124*Z124</f>
        <v>#DIV/0!</v>
      </c>
      <c r="AB124" s="2">
        <v>1</v>
      </c>
      <c r="AC124" s="27"/>
      <c r="AD124" s="27"/>
      <c r="AE124" s="35" t="e">
        <f>M124^2</f>
        <v>#DIV/0!</v>
      </c>
      <c r="AF124" s="46"/>
      <c r="AG124" s="47" t="e">
        <f>AG132</f>
        <v>#DIV/0!</v>
      </c>
      <c r="AH124" s="47" t="e">
        <f>AH132</f>
        <v>#DIV/0!</v>
      </c>
      <c r="AI124" s="45" t="e">
        <f>1/M124</f>
        <v>#DIV/0!</v>
      </c>
      <c r="AJ124" s="48" t="e">
        <f>1/(AH124+AI124)</f>
        <v>#DIV/0!</v>
      </c>
      <c r="AK124" s="49" t="e">
        <f>AJ124/AJ132</f>
        <v>#DIV/0!</v>
      </c>
      <c r="AL124" s="50" t="e">
        <f>AJ124*N124</f>
        <v>#DIV/0!</v>
      </c>
      <c r="AM124" s="50" t="e">
        <f>AL124/AJ124</f>
        <v>#DIV/0!</v>
      </c>
      <c r="AN124" s="42" t="e">
        <f>EXP(AM124)</f>
        <v>#DIV/0!</v>
      </c>
      <c r="AO124" s="51" t="e">
        <f>1/AJ124</f>
        <v>#DIV/0!</v>
      </c>
      <c r="AP124" s="42" t="e">
        <f>SQRT(AO124)</f>
        <v>#DIV/0!</v>
      </c>
      <c r="AQ124" s="39">
        <f>$H$2</f>
        <v>1.9599639845400536</v>
      </c>
      <c r="AR124" s="40" t="e">
        <f>AM124-(AQ124*AP124)</f>
        <v>#DIV/0!</v>
      </c>
      <c r="AS124" s="40" t="e">
        <f>AM124+(1.96*AP124)</f>
        <v>#DIV/0!</v>
      </c>
      <c r="AT124" s="52" t="e">
        <f>EXP(AR124)</f>
        <v>#DIV/0!</v>
      </c>
      <c r="AU124" s="52" t="e">
        <f>EXP(AS124)</f>
        <v>#DIV/0!</v>
      </c>
      <c r="AV124" s="16"/>
      <c r="AX124" s="53"/>
      <c r="AY124" s="53">
        <v>1</v>
      </c>
      <c r="AZ124" s="54"/>
      <c r="BA124" s="54"/>
      <c r="BC124" s="27"/>
      <c r="BD124" s="27"/>
      <c r="BE124" s="2"/>
      <c r="BF124" s="2"/>
      <c r="BG124" s="2"/>
      <c r="BH124" s="2"/>
      <c r="BI124" s="2"/>
      <c r="BJ124" s="2"/>
      <c r="BK124" s="2"/>
      <c r="BL124" s="2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</row>
    <row r="125" spans="2:75" hidden="1">
      <c r="B125" s="28" t="s">
        <v>51</v>
      </c>
      <c r="C125" s="29"/>
      <c r="D125" s="30">
        <f t="shared" ref="D125:D131" si="302">E125-C125</f>
        <v>0</v>
      </c>
      <c r="E125" s="31"/>
      <c r="F125" s="29"/>
      <c r="G125" s="30">
        <f t="shared" ref="G125:G131" si="303">H125-F125</f>
        <v>0</v>
      </c>
      <c r="H125" s="31"/>
      <c r="I125" s="32"/>
      <c r="K125" s="33" t="e">
        <f t="shared" ref="K125:K131" si="304">(C125/E125)/(F125/H125)</f>
        <v>#DIV/0!</v>
      </c>
      <c r="L125" s="34" t="e">
        <f t="shared" ref="L125:L130" si="305">(D125/(C125*E125)+(G125/(F125*H125)))</f>
        <v>#DIV/0!</v>
      </c>
      <c r="M125" s="35" t="e">
        <f t="shared" ref="M125:M131" si="306">1/L125</f>
        <v>#DIV/0!</v>
      </c>
      <c r="N125" s="36" t="e">
        <f t="shared" ref="N125:N131" si="307">LN(K125)</f>
        <v>#DIV/0!</v>
      </c>
      <c r="O125" s="36" t="e">
        <f t="shared" ref="O125:O131" si="308">M125*N125</f>
        <v>#DIV/0!</v>
      </c>
      <c r="P125" s="36" t="e">
        <f t="shared" ref="P125:P131" si="309">LN(K125)</f>
        <v>#DIV/0!</v>
      </c>
      <c r="Q125" s="110" t="e">
        <f t="shared" ref="Q125:Q131" si="310">K125</f>
        <v>#DIV/0!</v>
      </c>
      <c r="R125" s="38" t="e">
        <f t="shared" ref="R125:R131" si="311">SQRT(1/M125)</f>
        <v>#DIV/0!</v>
      </c>
      <c r="S125" s="39">
        <f t="shared" ref="S125:S132" si="312">$H$2</f>
        <v>1.9599639845400536</v>
      </c>
      <c r="T125" s="40" t="e">
        <f t="shared" ref="T125:T131" si="313">P125-(R125*S125)</f>
        <v>#DIV/0!</v>
      </c>
      <c r="U125" s="40" t="e">
        <f t="shared" ref="U125:U131" si="314">P125+(R125*S125)</f>
        <v>#DIV/0!</v>
      </c>
      <c r="V125" s="41" t="e">
        <f t="shared" ref="V125:W131" si="315">EXP(T125)</f>
        <v>#DIV/0!</v>
      </c>
      <c r="W125" s="42" t="e">
        <f t="shared" si="315"/>
        <v>#DIV/0!</v>
      </c>
      <c r="X125" s="43"/>
      <c r="Z125" s="44" t="e">
        <f>(N125-P132)^2</f>
        <v>#DIV/0!</v>
      </c>
      <c r="AA125" s="45" t="e">
        <f t="shared" ref="AA125:AA131" si="316">M125*Z125</f>
        <v>#DIV/0!</v>
      </c>
      <c r="AB125" s="2">
        <v>1</v>
      </c>
      <c r="AC125" s="27"/>
      <c r="AD125" s="27"/>
      <c r="AE125" s="35" t="e">
        <f t="shared" ref="AE125:AE131" si="317">M125^2</f>
        <v>#DIV/0!</v>
      </c>
      <c r="AF125" s="46"/>
      <c r="AG125" s="47" t="e">
        <f>AG132</f>
        <v>#DIV/0!</v>
      </c>
      <c r="AH125" s="47" t="e">
        <f>AH132</f>
        <v>#DIV/0!</v>
      </c>
      <c r="AI125" s="45" t="e">
        <f t="shared" ref="AI125:AI131" si="318">1/M125</f>
        <v>#DIV/0!</v>
      </c>
      <c r="AJ125" s="48" t="e">
        <f t="shared" ref="AJ125:AJ131" si="319">1/(AH125+AI125)</f>
        <v>#DIV/0!</v>
      </c>
      <c r="AK125" s="49" t="e">
        <f>AJ125/AJ132</f>
        <v>#DIV/0!</v>
      </c>
      <c r="AL125" s="50" t="e">
        <f t="shared" ref="AL125:AL131" si="320">AJ125*N125</f>
        <v>#DIV/0!</v>
      </c>
      <c r="AM125" s="50" t="e">
        <f t="shared" ref="AM125:AM131" si="321">AL125/AJ125</f>
        <v>#DIV/0!</v>
      </c>
      <c r="AN125" s="42" t="e">
        <f t="shared" ref="AN125:AN131" si="322">EXP(AM125)</f>
        <v>#DIV/0!</v>
      </c>
      <c r="AO125" s="51" t="e">
        <f t="shared" ref="AO125:AO131" si="323">1/AJ125</f>
        <v>#DIV/0!</v>
      </c>
      <c r="AP125" s="42" t="e">
        <f t="shared" ref="AP125:AP131" si="324">SQRT(AO125)</f>
        <v>#DIV/0!</v>
      </c>
      <c r="AQ125" s="39">
        <f t="shared" ref="AQ125:AQ132" si="325">$H$2</f>
        <v>1.9599639845400536</v>
      </c>
      <c r="AR125" s="40" t="e">
        <f t="shared" ref="AR125:AR131" si="326">AM125-(AQ125*AP125)</f>
        <v>#DIV/0!</v>
      </c>
      <c r="AS125" s="40" t="e">
        <f t="shared" ref="AS125:AS131" si="327">AM125+(1.96*AP125)</f>
        <v>#DIV/0!</v>
      </c>
      <c r="AT125" s="52" t="e">
        <f t="shared" ref="AT125:AU131" si="328">EXP(AR125)</f>
        <v>#DIV/0!</v>
      </c>
      <c r="AU125" s="52" t="e">
        <f t="shared" si="328"/>
        <v>#DIV/0!</v>
      </c>
      <c r="AV125" s="16"/>
      <c r="AX125" s="53"/>
      <c r="AY125" s="53">
        <v>1</v>
      </c>
      <c r="AZ125" s="54"/>
      <c r="BA125" s="54"/>
      <c r="BC125" s="27"/>
      <c r="BD125" s="27"/>
      <c r="BE125" s="2"/>
      <c r="BF125" s="2"/>
      <c r="BG125" s="2"/>
      <c r="BH125" s="2"/>
      <c r="BI125" s="2"/>
      <c r="BJ125" s="2"/>
      <c r="BK125" s="2"/>
      <c r="BL125" s="2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</row>
    <row r="126" spans="2:75" hidden="1">
      <c r="B126" s="28" t="s">
        <v>52</v>
      </c>
      <c r="C126" s="29"/>
      <c r="D126" s="30">
        <f t="shared" si="302"/>
        <v>0</v>
      </c>
      <c r="E126" s="31"/>
      <c r="F126" s="29"/>
      <c r="G126" s="30">
        <f t="shared" si="303"/>
        <v>0</v>
      </c>
      <c r="H126" s="31"/>
      <c r="I126" s="32"/>
      <c r="K126" s="33" t="e">
        <f t="shared" si="304"/>
        <v>#DIV/0!</v>
      </c>
      <c r="L126" s="34" t="e">
        <f t="shared" si="305"/>
        <v>#DIV/0!</v>
      </c>
      <c r="M126" s="35" t="e">
        <f t="shared" si="306"/>
        <v>#DIV/0!</v>
      </c>
      <c r="N126" s="36" t="e">
        <f t="shared" si="307"/>
        <v>#DIV/0!</v>
      </c>
      <c r="O126" s="36" t="e">
        <f t="shared" si="308"/>
        <v>#DIV/0!</v>
      </c>
      <c r="P126" s="36" t="e">
        <f t="shared" si="309"/>
        <v>#DIV/0!</v>
      </c>
      <c r="Q126" s="110" t="e">
        <f t="shared" si="310"/>
        <v>#DIV/0!</v>
      </c>
      <c r="R126" s="38" t="e">
        <f t="shared" si="311"/>
        <v>#DIV/0!</v>
      </c>
      <c r="S126" s="39">
        <f t="shared" si="312"/>
        <v>1.9599639845400536</v>
      </c>
      <c r="T126" s="40" t="e">
        <f t="shared" si="313"/>
        <v>#DIV/0!</v>
      </c>
      <c r="U126" s="40" t="e">
        <f t="shared" si="314"/>
        <v>#DIV/0!</v>
      </c>
      <c r="V126" s="41" t="e">
        <f t="shared" si="315"/>
        <v>#DIV/0!</v>
      </c>
      <c r="W126" s="42" t="e">
        <f t="shared" si="315"/>
        <v>#DIV/0!</v>
      </c>
      <c r="X126" s="43"/>
      <c r="Z126" s="44" t="e">
        <f>(N126-P132)^2</f>
        <v>#DIV/0!</v>
      </c>
      <c r="AA126" s="45" t="e">
        <f t="shared" si="316"/>
        <v>#DIV/0!</v>
      </c>
      <c r="AB126" s="2">
        <v>1</v>
      </c>
      <c r="AC126" s="27"/>
      <c r="AD126" s="27"/>
      <c r="AE126" s="35" t="e">
        <f t="shared" si="317"/>
        <v>#DIV/0!</v>
      </c>
      <c r="AF126" s="46"/>
      <c r="AG126" s="47" t="e">
        <f>AG132</f>
        <v>#DIV/0!</v>
      </c>
      <c r="AH126" s="47" t="e">
        <f>AH132</f>
        <v>#DIV/0!</v>
      </c>
      <c r="AI126" s="45" t="e">
        <f t="shared" si="318"/>
        <v>#DIV/0!</v>
      </c>
      <c r="AJ126" s="48" t="e">
        <f t="shared" si="319"/>
        <v>#DIV/0!</v>
      </c>
      <c r="AK126" s="49" t="e">
        <f>AJ126/AJ132</f>
        <v>#DIV/0!</v>
      </c>
      <c r="AL126" s="50" t="e">
        <f t="shared" si="320"/>
        <v>#DIV/0!</v>
      </c>
      <c r="AM126" s="50" t="e">
        <f t="shared" si="321"/>
        <v>#DIV/0!</v>
      </c>
      <c r="AN126" s="42" t="e">
        <f t="shared" si="322"/>
        <v>#DIV/0!</v>
      </c>
      <c r="AO126" s="51" t="e">
        <f t="shared" si="323"/>
        <v>#DIV/0!</v>
      </c>
      <c r="AP126" s="42" t="e">
        <f t="shared" si="324"/>
        <v>#DIV/0!</v>
      </c>
      <c r="AQ126" s="39">
        <f t="shared" si="325"/>
        <v>1.9599639845400536</v>
      </c>
      <c r="AR126" s="40" t="e">
        <f t="shared" si="326"/>
        <v>#DIV/0!</v>
      </c>
      <c r="AS126" s="40" t="e">
        <f t="shared" si="327"/>
        <v>#DIV/0!</v>
      </c>
      <c r="AT126" s="52" t="e">
        <f t="shared" si="328"/>
        <v>#DIV/0!</v>
      </c>
      <c r="AU126" s="52" t="e">
        <f t="shared" si="328"/>
        <v>#DIV/0!</v>
      </c>
      <c r="AV126" s="16"/>
      <c r="AX126" s="53"/>
      <c r="AY126" s="53">
        <v>1</v>
      </c>
      <c r="AZ126" s="54"/>
      <c r="BA126" s="54"/>
      <c r="BC126" s="27"/>
      <c r="BD126" s="27"/>
      <c r="BE126" s="2"/>
      <c r="BF126" s="2"/>
      <c r="BG126" s="2"/>
      <c r="BH126" s="2"/>
      <c r="BI126" s="2"/>
      <c r="BJ126" s="2"/>
      <c r="BK126" s="2"/>
      <c r="BL126" s="2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</row>
    <row r="127" spans="2:75" hidden="1">
      <c r="B127" s="28" t="s">
        <v>53</v>
      </c>
      <c r="C127" s="29"/>
      <c r="D127" s="30">
        <f t="shared" si="302"/>
        <v>0</v>
      </c>
      <c r="E127" s="31"/>
      <c r="F127" s="29"/>
      <c r="G127" s="30">
        <f t="shared" si="303"/>
        <v>0</v>
      </c>
      <c r="H127" s="31"/>
      <c r="I127" s="32"/>
      <c r="K127" s="33" t="e">
        <f t="shared" si="304"/>
        <v>#DIV/0!</v>
      </c>
      <c r="L127" s="34" t="e">
        <f t="shared" si="305"/>
        <v>#DIV/0!</v>
      </c>
      <c r="M127" s="35" t="e">
        <f t="shared" si="306"/>
        <v>#DIV/0!</v>
      </c>
      <c r="N127" s="36" t="e">
        <f t="shared" si="307"/>
        <v>#DIV/0!</v>
      </c>
      <c r="O127" s="36" t="e">
        <f t="shared" si="308"/>
        <v>#DIV/0!</v>
      </c>
      <c r="P127" s="36" t="e">
        <f t="shared" si="309"/>
        <v>#DIV/0!</v>
      </c>
      <c r="Q127" s="110" t="e">
        <f t="shared" si="310"/>
        <v>#DIV/0!</v>
      </c>
      <c r="R127" s="38" t="e">
        <f t="shared" si="311"/>
        <v>#DIV/0!</v>
      </c>
      <c r="S127" s="39">
        <f t="shared" si="312"/>
        <v>1.9599639845400536</v>
      </c>
      <c r="T127" s="40" t="e">
        <f t="shared" si="313"/>
        <v>#DIV/0!</v>
      </c>
      <c r="U127" s="40" t="e">
        <f t="shared" si="314"/>
        <v>#DIV/0!</v>
      </c>
      <c r="V127" s="41" t="e">
        <f t="shared" si="315"/>
        <v>#DIV/0!</v>
      </c>
      <c r="W127" s="42" t="e">
        <f t="shared" si="315"/>
        <v>#DIV/0!</v>
      </c>
      <c r="X127" s="43"/>
      <c r="Z127" s="44" t="e">
        <f>(N127-P132)^2</f>
        <v>#DIV/0!</v>
      </c>
      <c r="AA127" s="45" t="e">
        <f t="shared" si="316"/>
        <v>#DIV/0!</v>
      </c>
      <c r="AB127" s="2">
        <v>1</v>
      </c>
      <c r="AC127" s="27"/>
      <c r="AD127" s="27"/>
      <c r="AE127" s="35" t="e">
        <f t="shared" si="317"/>
        <v>#DIV/0!</v>
      </c>
      <c r="AF127" s="46"/>
      <c r="AG127" s="47" t="e">
        <f>AG132</f>
        <v>#DIV/0!</v>
      </c>
      <c r="AH127" s="47" t="e">
        <f>AH132</f>
        <v>#DIV/0!</v>
      </c>
      <c r="AI127" s="45" t="e">
        <f t="shared" si="318"/>
        <v>#DIV/0!</v>
      </c>
      <c r="AJ127" s="48" t="e">
        <f t="shared" si="319"/>
        <v>#DIV/0!</v>
      </c>
      <c r="AK127" s="49" t="e">
        <f>AJ127/AJ132</f>
        <v>#DIV/0!</v>
      </c>
      <c r="AL127" s="50" t="e">
        <f t="shared" si="320"/>
        <v>#DIV/0!</v>
      </c>
      <c r="AM127" s="50" t="e">
        <f t="shared" si="321"/>
        <v>#DIV/0!</v>
      </c>
      <c r="AN127" s="42" t="e">
        <f t="shared" si="322"/>
        <v>#DIV/0!</v>
      </c>
      <c r="AO127" s="51" t="e">
        <f t="shared" si="323"/>
        <v>#DIV/0!</v>
      </c>
      <c r="AP127" s="42" t="e">
        <f t="shared" si="324"/>
        <v>#DIV/0!</v>
      </c>
      <c r="AQ127" s="39">
        <f t="shared" si="325"/>
        <v>1.9599639845400536</v>
      </c>
      <c r="AR127" s="40" t="e">
        <f t="shared" si="326"/>
        <v>#DIV/0!</v>
      </c>
      <c r="AS127" s="40" t="e">
        <f t="shared" si="327"/>
        <v>#DIV/0!</v>
      </c>
      <c r="AT127" s="52" t="e">
        <f t="shared" si="328"/>
        <v>#DIV/0!</v>
      </c>
      <c r="AU127" s="52" t="e">
        <f t="shared" si="328"/>
        <v>#DIV/0!</v>
      </c>
      <c r="AV127" s="16"/>
      <c r="AX127" s="53"/>
      <c r="AY127" s="53">
        <v>1</v>
      </c>
      <c r="AZ127" s="54"/>
      <c r="BA127" s="54"/>
      <c r="BC127" s="27"/>
      <c r="BD127" s="27"/>
      <c r="BE127" s="2"/>
      <c r="BF127" s="2"/>
      <c r="BG127" s="2"/>
      <c r="BH127" s="2"/>
      <c r="BI127" s="2"/>
      <c r="BJ127" s="2"/>
      <c r="BK127" s="2"/>
      <c r="BL127" s="2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</row>
    <row r="128" spans="2:75" hidden="1">
      <c r="B128" s="28" t="s">
        <v>54</v>
      </c>
      <c r="C128" s="29"/>
      <c r="D128" s="30">
        <f t="shared" si="302"/>
        <v>0</v>
      </c>
      <c r="E128" s="31"/>
      <c r="F128" s="29"/>
      <c r="G128" s="30">
        <f t="shared" si="303"/>
        <v>0</v>
      </c>
      <c r="H128" s="31"/>
      <c r="I128" s="32"/>
      <c r="K128" s="33" t="e">
        <f t="shared" si="304"/>
        <v>#DIV/0!</v>
      </c>
      <c r="L128" s="34" t="e">
        <f t="shared" si="305"/>
        <v>#DIV/0!</v>
      </c>
      <c r="M128" s="35" t="e">
        <f t="shared" si="306"/>
        <v>#DIV/0!</v>
      </c>
      <c r="N128" s="36" t="e">
        <f t="shared" si="307"/>
        <v>#DIV/0!</v>
      </c>
      <c r="O128" s="36" t="e">
        <f t="shared" si="308"/>
        <v>#DIV/0!</v>
      </c>
      <c r="P128" s="36" t="e">
        <f t="shared" si="309"/>
        <v>#DIV/0!</v>
      </c>
      <c r="Q128" s="110" t="e">
        <f t="shared" si="310"/>
        <v>#DIV/0!</v>
      </c>
      <c r="R128" s="38" t="e">
        <f t="shared" si="311"/>
        <v>#DIV/0!</v>
      </c>
      <c r="S128" s="39">
        <f t="shared" si="312"/>
        <v>1.9599639845400536</v>
      </c>
      <c r="T128" s="40" t="e">
        <f t="shared" si="313"/>
        <v>#DIV/0!</v>
      </c>
      <c r="U128" s="40" t="e">
        <f t="shared" si="314"/>
        <v>#DIV/0!</v>
      </c>
      <c r="V128" s="41" t="e">
        <f t="shared" si="315"/>
        <v>#DIV/0!</v>
      </c>
      <c r="W128" s="42" t="e">
        <f t="shared" si="315"/>
        <v>#DIV/0!</v>
      </c>
      <c r="X128" s="43"/>
      <c r="Z128" s="44" t="e">
        <f>(N128-P132)^2</f>
        <v>#DIV/0!</v>
      </c>
      <c r="AA128" s="45" t="e">
        <f t="shared" si="316"/>
        <v>#DIV/0!</v>
      </c>
      <c r="AB128" s="2">
        <v>1</v>
      </c>
      <c r="AC128" s="27"/>
      <c r="AD128" s="27"/>
      <c r="AE128" s="35" t="e">
        <f t="shared" si="317"/>
        <v>#DIV/0!</v>
      </c>
      <c r="AF128" s="46"/>
      <c r="AG128" s="47" t="e">
        <f>AG132</f>
        <v>#DIV/0!</v>
      </c>
      <c r="AH128" s="47" t="e">
        <f>AH132</f>
        <v>#DIV/0!</v>
      </c>
      <c r="AI128" s="45" t="e">
        <f t="shared" si="318"/>
        <v>#DIV/0!</v>
      </c>
      <c r="AJ128" s="48" t="e">
        <f t="shared" si="319"/>
        <v>#DIV/0!</v>
      </c>
      <c r="AK128" s="49" t="e">
        <f>AJ128/AJ132</f>
        <v>#DIV/0!</v>
      </c>
      <c r="AL128" s="50" t="e">
        <f t="shared" si="320"/>
        <v>#DIV/0!</v>
      </c>
      <c r="AM128" s="50" t="e">
        <f t="shared" si="321"/>
        <v>#DIV/0!</v>
      </c>
      <c r="AN128" s="42" t="e">
        <f t="shared" si="322"/>
        <v>#DIV/0!</v>
      </c>
      <c r="AO128" s="51" t="e">
        <f t="shared" si="323"/>
        <v>#DIV/0!</v>
      </c>
      <c r="AP128" s="42" t="e">
        <f t="shared" si="324"/>
        <v>#DIV/0!</v>
      </c>
      <c r="AQ128" s="39">
        <f t="shared" si="325"/>
        <v>1.9599639845400536</v>
      </c>
      <c r="AR128" s="40" t="e">
        <f t="shared" si="326"/>
        <v>#DIV/0!</v>
      </c>
      <c r="AS128" s="40" t="e">
        <f t="shared" si="327"/>
        <v>#DIV/0!</v>
      </c>
      <c r="AT128" s="52" t="e">
        <f t="shared" si="328"/>
        <v>#DIV/0!</v>
      </c>
      <c r="AU128" s="52" t="e">
        <f t="shared" si="328"/>
        <v>#DIV/0!</v>
      </c>
      <c r="AV128" s="16"/>
      <c r="AX128" s="53"/>
      <c r="AY128" s="53">
        <v>1</v>
      </c>
      <c r="AZ128" s="54"/>
      <c r="BA128" s="54"/>
      <c r="BC128" s="27"/>
      <c r="BD128" s="27"/>
      <c r="BE128" s="2"/>
      <c r="BF128" s="2"/>
      <c r="BG128" s="2"/>
      <c r="BH128" s="2"/>
      <c r="BI128" s="2"/>
      <c r="BJ128" s="2"/>
      <c r="BK128" s="2"/>
      <c r="BL128" s="2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</row>
    <row r="129" spans="2:75" hidden="1">
      <c r="B129" s="28" t="s">
        <v>55</v>
      </c>
      <c r="C129" s="29"/>
      <c r="D129" s="30">
        <f t="shared" si="302"/>
        <v>0</v>
      </c>
      <c r="E129" s="31"/>
      <c r="F129" s="29"/>
      <c r="G129" s="30">
        <f t="shared" si="303"/>
        <v>0</v>
      </c>
      <c r="H129" s="31"/>
      <c r="I129" s="32"/>
      <c r="K129" s="33" t="e">
        <f t="shared" si="304"/>
        <v>#DIV/0!</v>
      </c>
      <c r="L129" s="34" t="e">
        <f t="shared" si="305"/>
        <v>#DIV/0!</v>
      </c>
      <c r="M129" s="35" t="e">
        <f t="shared" si="306"/>
        <v>#DIV/0!</v>
      </c>
      <c r="N129" s="36" t="e">
        <f t="shared" si="307"/>
        <v>#DIV/0!</v>
      </c>
      <c r="O129" s="36" t="e">
        <f t="shared" si="308"/>
        <v>#DIV/0!</v>
      </c>
      <c r="P129" s="36" t="e">
        <f t="shared" si="309"/>
        <v>#DIV/0!</v>
      </c>
      <c r="Q129" s="110" t="e">
        <f t="shared" si="310"/>
        <v>#DIV/0!</v>
      </c>
      <c r="R129" s="38" t="e">
        <f t="shared" si="311"/>
        <v>#DIV/0!</v>
      </c>
      <c r="S129" s="39">
        <f t="shared" si="312"/>
        <v>1.9599639845400536</v>
      </c>
      <c r="T129" s="40" t="e">
        <f t="shared" si="313"/>
        <v>#DIV/0!</v>
      </c>
      <c r="U129" s="40" t="e">
        <f t="shared" si="314"/>
        <v>#DIV/0!</v>
      </c>
      <c r="V129" s="41" t="e">
        <f t="shared" si="315"/>
        <v>#DIV/0!</v>
      </c>
      <c r="W129" s="42" t="e">
        <f t="shared" si="315"/>
        <v>#DIV/0!</v>
      </c>
      <c r="X129" s="43"/>
      <c r="Z129" s="44" t="e">
        <f>(N129-P132)^2</f>
        <v>#DIV/0!</v>
      </c>
      <c r="AA129" s="45" t="e">
        <f t="shared" si="316"/>
        <v>#DIV/0!</v>
      </c>
      <c r="AB129" s="2">
        <v>1</v>
      </c>
      <c r="AC129" s="27"/>
      <c r="AD129" s="27"/>
      <c r="AE129" s="35" t="e">
        <f t="shared" si="317"/>
        <v>#DIV/0!</v>
      </c>
      <c r="AF129" s="46"/>
      <c r="AG129" s="47" t="e">
        <f>AG132</f>
        <v>#DIV/0!</v>
      </c>
      <c r="AH129" s="47" t="e">
        <f>AH132</f>
        <v>#DIV/0!</v>
      </c>
      <c r="AI129" s="45" t="e">
        <f t="shared" si="318"/>
        <v>#DIV/0!</v>
      </c>
      <c r="AJ129" s="48" t="e">
        <f t="shared" si="319"/>
        <v>#DIV/0!</v>
      </c>
      <c r="AK129" s="49" t="e">
        <f>AJ129/AJ132</f>
        <v>#DIV/0!</v>
      </c>
      <c r="AL129" s="50" t="e">
        <f t="shared" si="320"/>
        <v>#DIV/0!</v>
      </c>
      <c r="AM129" s="50" t="e">
        <f t="shared" si="321"/>
        <v>#DIV/0!</v>
      </c>
      <c r="AN129" s="42" t="e">
        <f t="shared" si="322"/>
        <v>#DIV/0!</v>
      </c>
      <c r="AO129" s="51" t="e">
        <f t="shared" si="323"/>
        <v>#DIV/0!</v>
      </c>
      <c r="AP129" s="42" t="e">
        <f t="shared" si="324"/>
        <v>#DIV/0!</v>
      </c>
      <c r="AQ129" s="39">
        <f t="shared" si="325"/>
        <v>1.9599639845400536</v>
      </c>
      <c r="AR129" s="40" t="e">
        <f t="shared" si="326"/>
        <v>#DIV/0!</v>
      </c>
      <c r="AS129" s="40" t="e">
        <f t="shared" si="327"/>
        <v>#DIV/0!</v>
      </c>
      <c r="AT129" s="52" t="e">
        <f t="shared" si="328"/>
        <v>#DIV/0!</v>
      </c>
      <c r="AU129" s="52" t="e">
        <f t="shared" si="328"/>
        <v>#DIV/0!</v>
      </c>
      <c r="AV129" s="16"/>
      <c r="AX129" s="53"/>
      <c r="AY129" s="53">
        <v>1</v>
      </c>
      <c r="AZ129" s="54"/>
      <c r="BA129" s="54"/>
      <c r="BC129" s="27"/>
      <c r="BD129" s="27"/>
      <c r="BE129" s="2"/>
      <c r="BF129" s="2"/>
      <c r="BG129" s="2"/>
      <c r="BH129" s="2"/>
      <c r="BI129" s="2"/>
      <c r="BJ129" s="2"/>
      <c r="BK129" s="2"/>
      <c r="BL129" s="2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</row>
    <row r="130" spans="2:75" hidden="1">
      <c r="B130" s="28" t="s">
        <v>56</v>
      </c>
      <c r="C130" s="29"/>
      <c r="D130" s="30">
        <f t="shared" si="302"/>
        <v>0</v>
      </c>
      <c r="E130" s="31"/>
      <c r="F130" s="29"/>
      <c r="G130" s="30">
        <f t="shared" si="303"/>
        <v>0</v>
      </c>
      <c r="H130" s="31"/>
      <c r="I130" s="32"/>
      <c r="K130" s="33" t="e">
        <f t="shared" si="304"/>
        <v>#DIV/0!</v>
      </c>
      <c r="L130" s="34" t="e">
        <f t="shared" si="305"/>
        <v>#DIV/0!</v>
      </c>
      <c r="M130" s="35" t="e">
        <f t="shared" si="306"/>
        <v>#DIV/0!</v>
      </c>
      <c r="N130" s="36" t="e">
        <f t="shared" si="307"/>
        <v>#DIV/0!</v>
      </c>
      <c r="O130" s="36" t="e">
        <f t="shared" si="308"/>
        <v>#DIV/0!</v>
      </c>
      <c r="P130" s="36" t="e">
        <f t="shared" si="309"/>
        <v>#DIV/0!</v>
      </c>
      <c r="Q130" s="110" t="e">
        <f t="shared" si="310"/>
        <v>#DIV/0!</v>
      </c>
      <c r="R130" s="38" t="e">
        <f t="shared" si="311"/>
        <v>#DIV/0!</v>
      </c>
      <c r="S130" s="39">
        <f t="shared" si="312"/>
        <v>1.9599639845400536</v>
      </c>
      <c r="T130" s="40" t="e">
        <f t="shared" si="313"/>
        <v>#DIV/0!</v>
      </c>
      <c r="U130" s="40" t="e">
        <f t="shared" si="314"/>
        <v>#DIV/0!</v>
      </c>
      <c r="V130" s="41" t="e">
        <f t="shared" si="315"/>
        <v>#DIV/0!</v>
      </c>
      <c r="W130" s="42" t="e">
        <f t="shared" si="315"/>
        <v>#DIV/0!</v>
      </c>
      <c r="X130" s="43"/>
      <c r="Z130" s="44" t="e">
        <f>(N130-P132)^2</f>
        <v>#DIV/0!</v>
      </c>
      <c r="AA130" s="45" t="e">
        <f t="shared" si="316"/>
        <v>#DIV/0!</v>
      </c>
      <c r="AB130" s="2">
        <v>1</v>
      </c>
      <c r="AC130" s="27"/>
      <c r="AD130" s="27"/>
      <c r="AE130" s="35" t="e">
        <f t="shared" si="317"/>
        <v>#DIV/0!</v>
      </c>
      <c r="AF130" s="46"/>
      <c r="AG130" s="47" t="e">
        <f>AG132</f>
        <v>#DIV/0!</v>
      </c>
      <c r="AH130" s="47" t="e">
        <f>AH132</f>
        <v>#DIV/0!</v>
      </c>
      <c r="AI130" s="45" t="e">
        <f t="shared" si="318"/>
        <v>#DIV/0!</v>
      </c>
      <c r="AJ130" s="48" t="e">
        <f t="shared" si="319"/>
        <v>#DIV/0!</v>
      </c>
      <c r="AK130" s="49" t="e">
        <f>AJ130/AJ132</f>
        <v>#DIV/0!</v>
      </c>
      <c r="AL130" s="50" t="e">
        <f t="shared" si="320"/>
        <v>#DIV/0!</v>
      </c>
      <c r="AM130" s="50" t="e">
        <f t="shared" si="321"/>
        <v>#DIV/0!</v>
      </c>
      <c r="AN130" s="42" t="e">
        <f t="shared" si="322"/>
        <v>#DIV/0!</v>
      </c>
      <c r="AO130" s="51" t="e">
        <f t="shared" si="323"/>
        <v>#DIV/0!</v>
      </c>
      <c r="AP130" s="42" t="e">
        <f t="shared" si="324"/>
        <v>#DIV/0!</v>
      </c>
      <c r="AQ130" s="39">
        <f t="shared" si="325"/>
        <v>1.9599639845400536</v>
      </c>
      <c r="AR130" s="40" t="e">
        <f t="shared" si="326"/>
        <v>#DIV/0!</v>
      </c>
      <c r="AS130" s="40" t="e">
        <f t="shared" si="327"/>
        <v>#DIV/0!</v>
      </c>
      <c r="AT130" s="52" t="e">
        <f t="shared" si="328"/>
        <v>#DIV/0!</v>
      </c>
      <c r="AU130" s="52" t="e">
        <f t="shared" si="328"/>
        <v>#DIV/0!</v>
      </c>
      <c r="AV130" s="16"/>
      <c r="AX130" s="53"/>
      <c r="AY130" s="53">
        <v>1</v>
      </c>
      <c r="AZ130" s="54"/>
      <c r="BA130" s="54"/>
      <c r="BC130" s="27"/>
      <c r="BD130" s="27"/>
      <c r="BE130" s="2"/>
      <c r="BF130" s="2"/>
      <c r="BG130" s="2"/>
      <c r="BH130" s="2"/>
      <c r="BI130" s="2"/>
      <c r="BJ130" s="2"/>
      <c r="BK130" s="2"/>
      <c r="BL130" s="2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</row>
    <row r="131" spans="2:75" hidden="1">
      <c r="B131" s="28" t="s">
        <v>57</v>
      </c>
      <c r="C131" s="29"/>
      <c r="D131" s="30">
        <f t="shared" si="302"/>
        <v>0</v>
      </c>
      <c r="E131" s="31"/>
      <c r="F131" s="29"/>
      <c r="G131" s="30">
        <f t="shared" si="303"/>
        <v>0</v>
      </c>
      <c r="H131" s="31"/>
      <c r="I131" s="32"/>
      <c r="K131" s="33" t="e">
        <f t="shared" si="304"/>
        <v>#DIV/0!</v>
      </c>
      <c r="L131" s="34" t="e">
        <f>(D131/(C131*E131)+(G131/(F131*H131)))</f>
        <v>#DIV/0!</v>
      </c>
      <c r="M131" s="35" t="e">
        <f t="shared" si="306"/>
        <v>#DIV/0!</v>
      </c>
      <c r="N131" s="36" t="e">
        <f t="shared" si="307"/>
        <v>#DIV/0!</v>
      </c>
      <c r="O131" s="36" t="e">
        <f t="shared" si="308"/>
        <v>#DIV/0!</v>
      </c>
      <c r="P131" s="36" t="e">
        <f t="shared" si="309"/>
        <v>#DIV/0!</v>
      </c>
      <c r="Q131" s="110" t="e">
        <f t="shared" si="310"/>
        <v>#DIV/0!</v>
      </c>
      <c r="R131" s="38" t="e">
        <f t="shared" si="311"/>
        <v>#DIV/0!</v>
      </c>
      <c r="S131" s="39">
        <f t="shared" si="312"/>
        <v>1.9599639845400536</v>
      </c>
      <c r="T131" s="40" t="e">
        <f t="shared" si="313"/>
        <v>#DIV/0!</v>
      </c>
      <c r="U131" s="40" t="e">
        <f t="shared" si="314"/>
        <v>#DIV/0!</v>
      </c>
      <c r="V131" s="41" t="e">
        <f t="shared" si="315"/>
        <v>#DIV/0!</v>
      </c>
      <c r="W131" s="42" t="e">
        <f t="shared" si="315"/>
        <v>#DIV/0!</v>
      </c>
      <c r="X131" s="43"/>
      <c r="Z131" s="44" t="e">
        <f>(N131-P132)^2</f>
        <v>#DIV/0!</v>
      </c>
      <c r="AA131" s="45" t="e">
        <f t="shared" si="316"/>
        <v>#DIV/0!</v>
      </c>
      <c r="AB131" s="2">
        <v>1</v>
      </c>
      <c r="AC131" s="27"/>
      <c r="AD131" s="27"/>
      <c r="AE131" s="35" t="e">
        <f t="shared" si="317"/>
        <v>#DIV/0!</v>
      </c>
      <c r="AF131" s="46"/>
      <c r="AG131" s="47" t="e">
        <f>AG132</f>
        <v>#DIV/0!</v>
      </c>
      <c r="AH131" s="47" t="e">
        <f>AH132</f>
        <v>#DIV/0!</v>
      </c>
      <c r="AI131" s="45" t="e">
        <f t="shared" si="318"/>
        <v>#DIV/0!</v>
      </c>
      <c r="AJ131" s="48" t="e">
        <f t="shared" si="319"/>
        <v>#DIV/0!</v>
      </c>
      <c r="AK131" s="49" t="e">
        <f>AJ131/AJ132</f>
        <v>#DIV/0!</v>
      </c>
      <c r="AL131" s="50" t="e">
        <f t="shared" si="320"/>
        <v>#DIV/0!</v>
      </c>
      <c r="AM131" s="50" t="e">
        <f t="shared" si="321"/>
        <v>#DIV/0!</v>
      </c>
      <c r="AN131" s="42" t="e">
        <f t="shared" si="322"/>
        <v>#DIV/0!</v>
      </c>
      <c r="AO131" s="51" t="e">
        <f t="shared" si="323"/>
        <v>#DIV/0!</v>
      </c>
      <c r="AP131" s="42" t="e">
        <f t="shared" si="324"/>
        <v>#DIV/0!</v>
      </c>
      <c r="AQ131" s="39">
        <f t="shared" si="325"/>
        <v>1.9599639845400536</v>
      </c>
      <c r="AR131" s="40" t="e">
        <f t="shared" si="326"/>
        <v>#DIV/0!</v>
      </c>
      <c r="AS131" s="40" t="e">
        <f t="shared" si="327"/>
        <v>#DIV/0!</v>
      </c>
      <c r="AT131" s="52" t="e">
        <f t="shared" si="328"/>
        <v>#DIV/0!</v>
      </c>
      <c r="AU131" s="52" t="e">
        <f t="shared" si="328"/>
        <v>#DIV/0!</v>
      </c>
      <c r="AV131" s="16"/>
      <c r="AX131" s="53"/>
      <c r="AY131" s="53">
        <v>1</v>
      </c>
      <c r="AZ131" s="54"/>
      <c r="BA131" s="54"/>
      <c r="BC131" s="27"/>
      <c r="BD131" s="27"/>
      <c r="BE131" s="2"/>
      <c r="BF131" s="2"/>
      <c r="BG131" s="2"/>
      <c r="BH131" s="2"/>
      <c r="BI131" s="2"/>
      <c r="BJ131" s="2"/>
      <c r="BK131" s="2"/>
      <c r="BL131" s="2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</row>
    <row r="132" spans="2:75" hidden="1">
      <c r="B132" s="55">
        <f>COUNT(D124:D131)</f>
        <v>8</v>
      </c>
      <c r="C132" s="56">
        <f t="shared" ref="C132:H132" si="329">SUM(C124:C131)</f>
        <v>0</v>
      </c>
      <c r="D132" s="56">
        <f t="shared" si="329"/>
        <v>0</v>
      </c>
      <c r="E132" s="56">
        <f t="shared" si="329"/>
        <v>0</v>
      </c>
      <c r="F132" s="56">
        <f t="shared" si="329"/>
        <v>0</v>
      </c>
      <c r="G132" s="56">
        <f t="shared" si="329"/>
        <v>0</v>
      </c>
      <c r="H132" s="56">
        <f t="shared" si="329"/>
        <v>0</v>
      </c>
      <c r="I132" s="57"/>
      <c r="K132" s="58"/>
      <c r="L132" s="112"/>
      <c r="M132" s="60" t="e">
        <f>SUM(M124:M131)</f>
        <v>#DIV/0!</v>
      </c>
      <c r="N132" s="61"/>
      <c r="O132" s="62" t="e">
        <f>SUM(O124:O131)</f>
        <v>#DIV/0!</v>
      </c>
      <c r="P132" s="63" t="e">
        <f>O132/M132</f>
        <v>#DIV/0!</v>
      </c>
      <c r="Q132" s="488" t="e">
        <f>EXP(P132)</f>
        <v>#DIV/0!</v>
      </c>
      <c r="R132" s="488" t="e">
        <f>SQRT(1/M132)</f>
        <v>#DIV/0!</v>
      </c>
      <c r="S132" s="489">
        <f t="shared" si="312"/>
        <v>1.9599639845400536</v>
      </c>
      <c r="T132" s="490" t="e">
        <f>P132-(R132*S132)</f>
        <v>#DIV/0!</v>
      </c>
      <c r="U132" s="490" t="e">
        <f>P132+(R132*S132)</f>
        <v>#DIV/0!</v>
      </c>
      <c r="V132" s="491" t="e">
        <f>EXP(T132)</f>
        <v>#DIV/0!</v>
      </c>
      <c r="W132" s="492" t="e">
        <f>EXP(U132)</f>
        <v>#DIV/0!</v>
      </c>
      <c r="X132" s="65"/>
      <c r="Y132" s="65"/>
      <c r="Z132" s="66"/>
      <c r="AA132" s="67" t="e">
        <f>SUM(AA124:AA131)</f>
        <v>#DIV/0!</v>
      </c>
      <c r="AB132" s="68">
        <f>SUM(AB124:AB131)</f>
        <v>8</v>
      </c>
      <c r="AC132" s="69" t="e">
        <f>AA132-(AB132-1)</f>
        <v>#DIV/0!</v>
      </c>
      <c r="AD132" s="60" t="e">
        <f>M132</f>
        <v>#DIV/0!</v>
      </c>
      <c r="AE132" s="60" t="e">
        <f>SUM(AE124:AE131)</f>
        <v>#DIV/0!</v>
      </c>
      <c r="AF132" s="70" t="e">
        <f>AE132/AD132</f>
        <v>#DIV/0!</v>
      </c>
      <c r="AG132" s="71" t="e">
        <f>AC132/(AD132-AF132)</f>
        <v>#DIV/0!</v>
      </c>
      <c r="AH132" s="71" t="e">
        <f>IF(AA132&lt;AB132-1,"0",AG132)</f>
        <v>#DIV/0!</v>
      </c>
      <c r="AI132" s="66"/>
      <c r="AJ132" s="60" t="e">
        <f>SUM(AJ124:AJ131)</f>
        <v>#DIV/0!</v>
      </c>
      <c r="AK132" s="72" t="e">
        <f>SUM(AK124:AK131)</f>
        <v>#DIV/0!</v>
      </c>
      <c r="AL132" s="69" t="e">
        <f>SUM(AL124:AL131)</f>
        <v>#DIV/0!</v>
      </c>
      <c r="AM132" s="69" t="e">
        <f>AL132/AJ132</f>
        <v>#DIV/0!</v>
      </c>
      <c r="AN132" s="493" t="e">
        <f>EXP(AM132)</f>
        <v>#DIV/0!</v>
      </c>
      <c r="AO132" s="73" t="e">
        <f>1/AJ132</f>
        <v>#DIV/0!</v>
      </c>
      <c r="AP132" s="74" t="e">
        <f>SQRT(AO132)</f>
        <v>#DIV/0!</v>
      </c>
      <c r="AQ132" s="39">
        <f t="shared" si="325"/>
        <v>1.9599639845400536</v>
      </c>
      <c r="AR132" s="64" t="e">
        <f>AM132-(AQ132*AP132)</f>
        <v>#DIV/0!</v>
      </c>
      <c r="AS132" s="64" t="e">
        <f>AM132+(1.96*AP132)</f>
        <v>#DIV/0!</v>
      </c>
      <c r="AT132" s="494" t="e">
        <f>EXP(AR132)</f>
        <v>#DIV/0!</v>
      </c>
      <c r="AU132" s="494" t="e">
        <f>EXP(AS132)</f>
        <v>#DIV/0!</v>
      </c>
      <c r="AV132" s="75"/>
      <c r="AW132" s="76"/>
      <c r="AX132" s="77" t="e">
        <f>AA132</f>
        <v>#DIV/0!</v>
      </c>
      <c r="AY132" s="55">
        <f>SUM(AY124:AY131)</f>
        <v>8</v>
      </c>
      <c r="AZ132" s="78" t="e">
        <f>(AX132-(AY132-1))/AX132</f>
        <v>#DIV/0!</v>
      </c>
      <c r="BA132" s="79" t="e">
        <f>IF(AA132&lt;AB132-1,"0%",AZ132)</f>
        <v>#DIV/0!</v>
      </c>
      <c r="BB132" s="76"/>
      <c r="BC132" s="62" t="e">
        <f>AX132/(AY132-1)</f>
        <v>#DIV/0!</v>
      </c>
      <c r="BD132" s="80" t="e">
        <f>LN(BC132)</f>
        <v>#DIV/0!</v>
      </c>
      <c r="BE132" s="62" t="e">
        <f>LN(AX132)</f>
        <v>#DIV/0!</v>
      </c>
      <c r="BF132" s="62">
        <f>LN(AY132-1)</f>
        <v>1.9459101490553132</v>
      </c>
      <c r="BG132" s="62" t="e">
        <f>SQRT(2*AX132)</f>
        <v>#DIV/0!</v>
      </c>
      <c r="BH132" s="62">
        <f>SQRT(2*AY132-3)</f>
        <v>3.6055512754639891</v>
      </c>
      <c r="BI132" s="62">
        <f>2*(AY132-2)</f>
        <v>12</v>
      </c>
      <c r="BJ132" s="62">
        <f>3*(AY132-2)^2</f>
        <v>108</v>
      </c>
      <c r="BK132" s="62">
        <f>1/BI132</f>
        <v>8.3333333333333329E-2</v>
      </c>
      <c r="BL132" s="81">
        <f>1/BJ132</f>
        <v>9.2592592592592587E-3</v>
      </c>
      <c r="BM132" s="81">
        <f>SQRT(BK132*(1-BL132))</f>
        <v>0.28733556757746109</v>
      </c>
      <c r="BN132" s="82" t="e">
        <f>0.5*(BE132-BF132)/(BG132-BH132)</f>
        <v>#DIV/0!</v>
      </c>
      <c r="BO132" s="82" t="e">
        <f>IF(AA132&lt;=AB132,BM132,BN132)</f>
        <v>#DIV/0!</v>
      </c>
      <c r="BP132" s="69" t="e">
        <f>BD132-(1.96*BO132)</f>
        <v>#DIV/0!</v>
      </c>
      <c r="BQ132" s="69" t="e">
        <f>BD132+(1.96*BO132)</f>
        <v>#DIV/0!</v>
      </c>
      <c r="BR132" s="69"/>
      <c r="BS132" s="80" t="e">
        <f>EXP(BP132)</f>
        <v>#DIV/0!</v>
      </c>
      <c r="BT132" s="80" t="e">
        <f>EXP(BQ132)</f>
        <v>#DIV/0!</v>
      </c>
      <c r="BU132" s="83" t="e">
        <f>BA132</f>
        <v>#DIV/0!</v>
      </c>
      <c r="BV132" s="83" t="e">
        <f>(BS132-1)/BS132</f>
        <v>#DIV/0!</v>
      </c>
      <c r="BW132" s="83" t="e">
        <f>(BT132-1)/BT132</f>
        <v>#DIV/0!</v>
      </c>
    </row>
    <row r="133" spans="2:75" ht="13.5" hidden="1" thickBot="1">
      <c r="C133" s="84"/>
      <c r="D133" s="84"/>
      <c r="E133" s="84"/>
      <c r="F133" s="84"/>
      <c r="G133" s="84"/>
      <c r="H133" s="84"/>
      <c r="I133" s="85"/>
      <c r="R133" s="86"/>
      <c r="S133" s="86"/>
      <c r="T133" s="86"/>
      <c r="U133" s="86"/>
      <c r="V133" s="86"/>
      <c r="W133" s="86"/>
      <c r="X133" s="86"/>
      <c r="AB133" s="87"/>
      <c r="AC133" s="88"/>
      <c r="AD133" s="89"/>
      <c r="AE133" s="88"/>
      <c r="AF133" s="90"/>
      <c r="AG133" s="90"/>
      <c r="AH133" s="90"/>
      <c r="AI133" s="90"/>
      <c r="AT133" s="91"/>
      <c r="AU133" s="91"/>
      <c r="AV133" s="91"/>
      <c r="AX133" s="5" t="s">
        <v>59</v>
      </c>
      <c r="BG133" s="10"/>
      <c r="BN133" s="88" t="s">
        <v>60</v>
      </c>
      <c r="BT133" s="92" t="s">
        <v>61</v>
      </c>
      <c r="BU133" s="495" t="e">
        <f>BU132</f>
        <v>#DIV/0!</v>
      </c>
      <c r="BV133" s="495" t="e">
        <f>IF(BV132&lt;0,"0%",BV132)</f>
        <v>#DIV/0!</v>
      </c>
      <c r="BW133" s="496" t="e">
        <f>IF(BW132&lt;0,"0%",BW132)</f>
        <v>#DIV/0!</v>
      </c>
    </row>
    <row r="134" spans="2:75" ht="26.5" hidden="1" thickBot="1">
      <c r="B134" s="5"/>
      <c r="C134" s="93"/>
      <c r="D134" s="93"/>
      <c r="E134" s="93"/>
      <c r="F134" s="93"/>
      <c r="G134" s="93"/>
      <c r="H134" s="93"/>
      <c r="I134" s="94"/>
      <c r="J134" s="5"/>
      <c r="K134" s="5"/>
      <c r="R134" s="95"/>
      <c r="S134" s="95"/>
      <c r="T134" s="95"/>
      <c r="U134" s="95"/>
      <c r="V134" s="95"/>
      <c r="W134" s="95"/>
      <c r="X134" s="95"/>
      <c r="AF134" s="1"/>
      <c r="AI134" s="10"/>
      <c r="AJ134" s="96"/>
      <c r="AK134" s="96"/>
      <c r="AL134" s="97"/>
      <c r="AM134" s="98"/>
      <c r="AO134" s="99" t="s">
        <v>62</v>
      </c>
      <c r="AP134" s="100">
        <f>TINV((1-$H$1),(AB132-2))</f>
        <v>2.4469118511449688</v>
      </c>
      <c r="AR134" s="497" t="s">
        <v>63</v>
      </c>
      <c r="AS134" s="101">
        <f>$H$1</f>
        <v>0.95</v>
      </c>
      <c r="AT134" s="498" t="e">
        <f>EXP(AM132-AP134*SQRT((1/AD132)+AH132))</f>
        <v>#DIV/0!</v>
      </c>
      <c r="AU134" s="498" t="e">
        <f>EXP(AM132+AP134*SQRT((1/AD132)+AH132))</f>
        <v>#DIV/0!</v>
      </c>
      <c r="AV134" s="16"/>
      <c r="AX134" s="102" t="e">
        <f>_xlfn.CHISQ.DIST.RT(AX132,AY132-1)</f>
        <v>#DIV/0!</v>
      </c>
      <c r="AY134" s="103" t="e">
        <f>IF(AX134&lt;0.05,"heterogeneidad","homogeneidad")</f>
        <v>#DIV/0!</v>
      </c>
      <c r="BF134" s="104"/>
      <c r="BG134" s="10"/>
      <c r="BH134" s="10"/>
      <c r="BJ134" s="43"/>
      <c r="BL134" s="10"/>
      <c r="BM134" s="105"/>
      <c r="BQ134" s="10"/>
    </row>
    <row r="135" spans="2:75" ht="14.5" hidden="1">
      <c r="B135" s="5"/>
      <c r="C135" s="93"/>
      <c r="D135" s="93"/>
      <c r="E135" s="93"/>
      <c r="F135" s="93"/>
      <c r="G135" s="93"/>
      <c r="H135" s="93"/>
      <c r="I135" s="94"/>
      <c r="J135" s="5"/>
      <c r="K135" s="5"/>
      <c r="R135" s="95"/>
      <c r="S135" s="95"/>
      <c r="T135" s="95"/>
      <c r="U135" s="95"/>
      <c r="V135" s="95"/>
      <c r="W135" s="95"/>
      <c r="X135" s="95"/>
      <c r="AF135" s="1"/>
      <c r="AI135" s="10"/>
      <c r="AJ135" s="96"/>
      <c r="AK135" s="96"/>
      <c r="AL135" s="97"/>
      <c r="AM135" s="98"/>
      <c r="AN135" s="106"/>
      <c r="AO135" s="107"/>
      <c r="AP135" s="13"/>
      <c r="AS135" s="108"/>
      <c r="AT135" s="16"/>
      <c r="AU135" s="16"/>
      <c r="AV135" s="16"/>
      <c r="BF135" s="104"/>
      <c r="BG135" s="10"/>
      <c r="BH135" s="10"/>
      <c r="BJ135" s="43"/>
      <c r="BL135" s="10"/>
      <c r="BM135" s="109"/>
      <c r="BQ135" s="10"/>
    </row>
    <row r="136" spans="2:75" ht="13" hidden="1" customHeight="1">
      <c r="C136" s="84"/>
      <c r="D136" s="84"/>
      <c r="E136" s="84"/>
      <c r="F136" s="84"/>
      <c r="G136" s="84"/>
      <c r="H136" s="84"/>
      <c r="I136" s="85"/>
      <c r="J136" s="668" t="s">
        <v>4</v>
      </c>
      <c r="K136" s="669"/>
      <c r="L136" s="669"/>
      <c r="M136" s="669"/>
      <c r="N136" s="669"/>
      <c r="O136" s="669"/>
      <c r="P136" s="669"/>
      <c r="Q136" s="669"/>
      <c r="R136" s="669"/>
      <c r="S136" s="669"/>
      <c r="T136" s="669"/>
      <c r="U136" s="669"/>
      <c r="V136" s="669"/>
      <c r="W136" s="670"/>
      <c r="X136" s="11"/>
      <c r="Y136" s="668" t="s">
        <v>5</v>
      </c>
      <c r="Z136" s="669"/>
      <c r="AA136" s="669"/>
      <c r="AB136" s="669"/>
      <c r="AC136" s="669"/>
      <c r="AD136" s="669"/>
      <c r="AE136" s="669"/>
      <c r="AF136" s="669"/>
      <c r="AG136" s="669"/>
      <c r="AH136" s="669"/>
      <c r="AI136" s="669"/>
      <c r="AJ136" s="669"/>
      <c r="AK136" s="669"/>
      <c r="AL136" s="669"/>
      <c r="AM136" s="669"/>
      <c r="AN136" s="669"/>
      <c r="AO136" s="669"/>
      <c r="AP136" s="669"/>
      <c r="AQ136" s="669"/>
      <c r="AR136" s="669"/>
      <c r="AS136" s="669"/>
      <c r="AT136" s="669"/>
      <c r="AU136" s="670"/>
      <c r="AV136" s="11"/>
      <c r="AW136" s="668" t="s">
        <v>232</v>
      </c>
      <c r="AX136" s="669"/>
      <c r="AY136" s="669"/>
      <c r="AZ136" s="669"/>
      <c r="BA136" s="669"/>
      <c r="BB136" s="669"/>
      <c r="BC136" s="669"/>
      <c r="BD136" s="669"/>
      <c r="BE136" s="669"/>
      <c r="BF136" s="669"/>
      <c r="BG136" s="669"/>
      <c r="BH136" s="669"/>
      <c r="BI136" s="669"/>
      <c r="BJ136" s="669"/>
      <c r="BK136" s="669"/>
      <c r="BL136" s="669"/>
      <c r="BM136" s="669"/>
      <c r="BN136" s="669"/>
      <c r="BO136" s="669"/>
      <c r="BP136" s="669"/>
      <c r="BQ136" s="669"/>
      <c r="BR136" s="669"/>
      <c r="BS136" s="669"/>
      <c r="BT136" s="669"/>
      <c r="BU136" s="669"/>
      <c r="BV136" s="669"/>
      <c r="BW136" s="670"/>
    </row>
    <row r="137" spans="2:75" hidden="1">
      <c r="B137" s="12" t="s">
        <v>6</v>
      </c>
      <c r="C137" s="677" t="s">
        <v>7</v>
      </c>
      <c r="D137" s="677"/>
      <c r="E137" s="677"/>
      <c r="F137" s="677" t="s">
        <v>8</v>
      </c>
      <c r="G137" s="677"/>
      <c r="H137" s="677"/>
      <c r="I137" s="13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</row>
    <row r="138" spans="2:75" ht="60" hidden="1">
      <c r="B138" s="503"/>
      <c r="C138" s="15" t="s">
        <v>9</v>
      </c>
      <c r="D138" s="15" t="s">
        <v>10</v>
      </c>
      <c r="E138" s="15" t="s">
        <v>11</v>
      </c>
      <c r="F138" s="15" t="s">
        <v>9</v>
      </c>
      <c r="G138" s="15" t="s">
        <v>10</v>
      </c>
      <c r="H138" s="15" t="s">
        <v>11</v>
      </c>
      <c r="I138" s="16"/>
      <c r="K138" s="17" t="s">
        <v>12</v>
      </c>
      <c r="L138" s="17" t="s">
        <v>13</v>
      </c>
      <c r="M138" s="17" t="s">
        <v>14</v>
      </c>
      <c r="N138" s="18" t="s">
        <v>15</v>
      </c>
      <c r="O138" s="18" t="s">
        <v>16</v>
      </c>
      <c r="P138" s="18" t="s">
        <v>17</v>
      </c>
      <c r="Q138" s="486" t="s">
        <v>18</v>
      </c>
      <c r="R138" s="486" t="s">
        <v>19</v>
      </c>
      <c r="S138" s="487" t="s">
        <v>3</v>
      </c>
      <c r="T138" s="486" t="s">
        <v>20</v>
      </c>
      <c r="U138" s="486" t="s">
        <v>21</v>
      </c>
      <c r="V138" s="486" t="s">
        <v>22</v>
      </c>
      <c r="W138" s="486" t="s">
        <v>22</v>
      </c>
      <c r="X138" s="19"/>
      <c r="Y138" s="20"/>
      <c r="Z138" s="21" t="s">
        <v>23</v>
      </c>
      <c r="AA138" s="18" t="s">
        <v>24</v>
      </c>
      <c r="AB138" s="3" t="s">
        <v>25</v>
      </c>
      <c r="AC138" s="3" t="s">
        <v>26</v>
      </c>
      <c r="AD138" s="3" t="s">
        <v>27</v>
      </c>
      <c r="AE138" s="18" t="s">
        <v>28</v>
      </c>
      <c r="AF138" s="18" t="s">
        <v>29</v>
      </c>
      <c r="AG138" s="22" t="s">
        <v>30</v>
      </c>
      <c r="AH138" s="22" t="s">
        <v>31</v>
      </c>
      <c r="AI138" s="3" t="s">
        <v>32</v>
      </c>
      <c r="AJ138" s="18" t="s">
        <v>33</v>
      </c>
      <c r="AK138" s="18" t="s">
        <v>34</v>
      </c>
      <c r="AL138" s="18" t="s">
        <v>35</v>
      </c>
      <c r="AM138" s="3" t="s">
        <v>36</v>
      </c>
      <c r="AN138" s="487" t="s">
        <v>37</v>
      </c>
      <c r="AO138" s="18" t="s">
        <v>38</v>
      </c>
      <c r="AP138" s="18" t="s">
        <v>39</v>
      </c>
      <c r="AQ138" s="3" t="s">
        <v>3</v>
      </c>
      <c r="AR138" s="18" t="s">
        <v>40</v>
      </c>
      <c r="AS138" s="18" t="s">
        <v>41</v>
      </c>
      <c r="AT138" s="486" t="s">
        <v>22</v>
      </c>
      <c r="AU138" s="486" t="s">
        <v>22</v>
      </c>
      <c r="AV138" s="19"/>
      <c r="AX138" s="23" t="s">
        <v>42</v>
      </c>
      <c r="AY138" s="23" t="s">
        <v>25</v>
      </c>
      <c r="AZ138" s="24" t="s">
        <v>64</v>
      </c>
      <c r="BA138" s="25" t="s">
        <v>65</v>
      </c>
      <c r="BC138" s="3" t="s">
        <v>66</v>
      </c>
      <c r="BD138" s="3" t="s">
        <v>67</v>
      </c>
      <c r="BE138" s="3" t="s">
        <v>43</v>
      </c>
      <c r="BF138" s="3" t="s">
        <v>44</v>
      </c>
      <c r="BG138" s="3" t="s">
        <v>45</v>
      </c>
      <c r="BH138" s="3" t="s">
        <v>46</v>
      </c>
      <c r="BI138" s="3" t="s">
        <v>47</v>
      </c>
      <c r="BJ138" s="3" t="s">
        <v>68</v>
      </c>
      <c r="BK138" s="3" t="s">
        <v>48</v>
      </c>
      <c r="BL138" s="3" t="s">
        <v>49</v>
      </c>
      <c r="BM138" s="26" t="s">
        <v>69</v>
      </c>
      <c r="BN138" s="26" t="s">
        <v>70</v>
      </c>
      <c r="BO138" s="26" t="s">
        <v>71</v>
      </c>
      <c r="BP138" s="26" t="s">
        <v>72</v>
      </c>
      <c r="BQ138" s="26" t="s">
        <v>73</v>
      </c>
      <c r="BR138" s="27"/>
      <c r="BS138" s="18" t="s">
        <v>74</v>
      </c>
      <c r="BT138" s="18" t="s">
        <v>75</v>
      </c>
      <c r="BU138" s="486" t="s">
        <v>229</v>
      </c>
      <c r="BV138" s="486" t="s">
        <v>230</v>
      </c>
      <c r="BW138" s="486" t="s">
        <v>231</v>
      </c>
    </row>
    <row r="139" spans="2:75" hidden="1">
      <c r="B139" s="28" t="s">
        <v>50</v>
      </c>
      <c r="C139" s="29"/>
      <c r="D139" s="30">
        <f>E139-C139</f>
        <v>0</v>
      </c>
      <c r="E139" s="31"/>
      <c r="F139" s="29"/>
      <c r="G139" s="30">
        <f>H139-F139</f>
        <v>0</v>
      </c>
      <c r="H139" s="31"/>
      <c r="I139" s="32"/>
      <c r="K139" s="33" t="e">
        <f>(C139/E139)/(F139/H139)</f>
        <v>#DIV/0!</v>
      </c>
      <c r="L139" s="34" t="e">
        <f t="shared" ref="L139:L145" si="330">(D139/(C139*E139)+(G139/(F139*H139)))</f>
        <v>#DIV/0!</v>
      </c>
      <c r="M139" s="35" t="e">
        <f>1/L139</f>
        <v>#DIV/0!</v>
      </c>
      <c r="N139" s="36" t="e">
        <f>LN(K139)</f>
        <v>#DIV/0!</v>
      </c>
      <c r="O139" s="36" t="e">
        <f>M139*N139</f>
        <v>#DIV/0!</v>
      </c>
      <c r="P139" s="36" t="e">
        <f>LN(K139)</f>
        <v>#DIV/0!</v>
      </c>
      <c r="Q139" s="110" t="e">
        <f>K139</f>
        <v>#DIV/0!</v>
      </c>
      <c r="R139" s="38" t="e">
        <f>SQRT(1/M139)</f>
        <v>#DIV/0!</v>
      </c>
      <c r="S139" s="39">
        <f>$H$2</f>
        <v>1.9599639845400536</v>
      </c>
      <c r="T139" s="40" t="e">
        <f>P139-(R139*S139)</f>
        <v>#DIV/0!</v>
      </c>
      <c r="U139" s="40" t="e">
        <f>P139+(R139*S139)</f>
        <v>#DIV/0!</v>
      </c>
      <c r="V139" s="41" t="e">
        <f>EXP(T139)</f>
        <v>#DIV/0!</v>
      </c>
      <c r="W139" s="42" t="e">
        <f>EXP(U139)</f>
        <v>#DIV/0!</v>
      </c>
      <c r="X139" s="43"/>
      <c r="Z139" s="44" t="e">
        <f>(N139-P146)^2</f>
        <v>#DIV/0!</v>
      </c>
      <c r="AA139" s="45" t="e">
        <f>M139*Z139</f>
        <v>#DIV/0!</v>
      </c>
      <c r="AB139" s="2">
        <v>1</v>
      </c>
      <c r="AC139" s="27"/>
      <c r="AD139" s="27"/>
      <c r="AE139" s="35" t="e">
        <f>M139^2</f>
        <v>#DIV/0!</v>
      </c>
      <c r="AF139" s="46"/>
      <c r="AG139" s="47" t="e">
        <f>AG146</f>
        <v>#DIV/0!</v>
      </c>
      <c r="AH139" s="47" t="e">
        <f>AH146</f>
        <v>#DIV/0!</v>
      </c>
      <c r="AI139" s="45" t="e">
        <f>1/M139</f>
        <v>#DIV/0!</v>
      </c>
      <c r="AJ139" s="48" t="e">
        <f>1/(AH139+AI139)</f>
        <v>#DIV/0!</v>
      </c>
      <c r="AK139" s="49" t="e">
        <f>AJ139/AJ146</f>
        <v>#DIV/0!</v>
      </c>
      <c r="AL139" s="50" t="e">
        <f>AJ139*N139</f>
        <v>#DIV/0!</v>
      </c>
      <c r="AM139" s="50" t="e">
        <f>AL139/AJ139</f>
        <v>#DIV/0!</v>
      </c>
      <c r="AN139" s="42" t="e">
        <f>EXP(AM139)</f>
        <v>#DIV/0!</v>
      </c>
      <c r="AO139" s="51" t="e">
        <f>1/AJ139</f>
        <v>#DIV/0!</v>
      </c>
      <c r="AP139" s="42" t="e">
        <f>SQRT(AO139)</f>
        <v>#DIV/0!</v>
      </c>
      <c r="AQ139" s="39">
        <f>$H$2</f>
        <v>1.9599639845400536</v>
      </c>
      <c r="AR139" s="40" t="e">
        <f>AM139-(AQ139*AP139)</f>
        <v>#DIV/0!</v>
      </c>
      <c r="AS139" s="40" t="e">
        <f>AM139+(1.96*AP139)</f>
        <v>#DIV/0!</v>
      </c>
      <c r="AT139" s="52" t="e">
        <f>EXP(AR139)</f>
        <v>#DIV/0!</v>
      </c>
      <c r="AU139" s="52" t="e">
        <f>EXP(AS139)</f>
        <v>#DIV/0!</v>
      </c>
      <c r="AV139" s="16"/>
      <c r="AX139" s="53"/>
      <c r="AY139" s="53">
        <v>1</v>
      </c>
      <c r="AZ139" s="54"/>
      <c r="BA139" s="54"/>
      <c r="BC139" s="27"/>
      <c r="BD139" s="27"/>
      <c r="BE139" s="2"/>
      <c r="BF139" s="2"/>
      <c r="BG139" s="2"/>
      <c r="BH139" s="2"/>
      <c r="BI139" s="2"/>
      <c r="BJ139" s="2"/>
      <c r="BK139" s="2"/>
      <c r="BL139" s="2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</row>
    <row r="140" spans="2:75" hidden="1">
      <c r="B140" s="28" t="s">
        <v>51</v>
      </c>
      <c r="C140" s="29"/>
      <c r="D140" s="30">
        <f t="shared" ref="D140:D145" si="331">E140-C140</f>
        <v>0</v>
      </c>
      <c r="E140" s="31"/>
      <c r="F140" s="29"/>
      <c r="G140" s="30">
        <f t="shared" ref="G140:G145" si="332">H140-F140</f>
        <v>0</v>
      </c>
      <c r="H140" s="31"/>
      <c r="I140" s="32"/>
      <c r="K140" s="33" t="e">
        <f t="shared" ref="K140:K145" si="333">(C140/E140)/(F140/H140)</f>
        <v>#DIV/0!</v>
      </c>
      <c r="L140" s="34" t="e">
        <f t="shared" si="330"/>
        <v>#DIV/0!</v>
      </c>
      <c r="M140" s="35" t="e">
        <f t="shared" ref="M140:M145" si="334">1/L140</f>
        <v>#DIV/0!</v>
      </c>
      <c r="N140" s="36" t="e">
        <f t="shared" ref="N140:N145" si="335">LN(K140)</f>
        <v>#DIV/0!</v>
      </c>
      <c r="O140" s="36" t="e">
        <f t="shared" ref="O140:O145" si="336">M140*N140</f>
        <v>#DIV/0!</v>
      </c>
      <c r="P140" s="36" t="e">
        <f t="shared" ref="P140:P145" si="337">LN(K140)</f>
        <v>#DIV/0!</v>
      </c>
      <c r="Q140" s="110" t="e">
        <f t="shared" ref="Q140:Q145" si="338">K140</f>
        <v>#DIV/0!</v>
      </c>
      <c r="R140" s="38" t="e">
        <f t="shared" ref="R140:R145" si="339">SQRT(1/M140)</f>
        <v>#DIV/0!</v>
      </c>
      <c r="S140" s="39">
        <f t="shared" ref="S140:S146" si="340">$H$2</f>
        <v>1.9599639845400536</v>
      </c>
      <c r="T140" s="40" t="e">
        <f t="shared" ref="T140:T145" si="341">P140-(R140*S140)</f>
        <v>#DIV/0!</v>
      </c>
      <c r="U140" s="40" t="e">
        <f t="shared" ref="U140:U145" si="342">P140+(R140*S140)</f>
        <v>#DIV/0!</v>
      </c>
      <c r="V140" s="41" t="e">
        <f t="shared" ref="V140:W145" si="343">EXP(T140)</f>
        <v>#DIV/0!</v>
      </c>
      <c r="W140" s="42" t="e">
        <f t="shared" si="343"/>
        <v>#DIV/0!</v>
      </c>
      <c r="X140" s="43"/>
      <c r="Z140" s="44" t="e">
        <f>(N140-P146)^2</f>
        <v>#DIV/0!</v>
      </c>
      <c r="AA140" s="45" t="e">
        <f t="shared" ref="AA140:AA145" si="344">M140*Z140</f>
        <v>#DIV/0!</v>
      </c>
      <c r="AB140" s="2">
        <v>1</v>
      </c>
      <c r="AC140" s="27"/>
      <c r="AD140" s="27"/>
      <c r="AE140" s="35" t="e">
        <f t="shared" ref="AE140:AE145" si="345">M140^2</f>
        <v>#DIV/0!</v>
      </c>
      <c r="AF140" s="46"/>
      <c r="AG140" s="47" t="e">
        <f>AG146</f>
        <v>#DIV/0!</v>
      </c>
      <c r="AH140" s="47" t="e">
        <f>AH146</f>
        <v>#DIV/0!</v>
      </c>
      <c r="AI140" s="45" t="e">
        <f t="shared" ref="AI140:AI145" si="346">1/M140</f>
        <v>#DIV/0!</v>
      </c>
      <c r="AJ140" s="48" t="e">
        <f t="shared" ref="AJ140:AJ145" si="347">1/(AH140+AI140)</f>
        <v>#DIV/0!</v>
      </c>
      <c r="AK140" s="49" t="e">
        <f>AJ140/AJ146</f>
        <v>#DIV/0!</v>
      </c>
      <c r="AL140" s="50" t="e">
        <f t="shared" ref="AL140:AL145" si="348">AJ140*N140</f>
        <v>#DIV/0!</v>
      </c>
      <c r="AM140" s="50" t="e">
        <f t="shared" ref="AM140:AM145" si="349">AL140/AJ140</f>
        <v>#DIV/0!</v>
      </c>
      <c r="AN140" s="42" t="e">
        <f t="shared" ref="AN140:AN145" si="350">EXP(AM140)</f>
        <v>#DIV/0!</v>
      </c>
      <c r="AO140" s="51" t="e">
        <f t="shared" ref="AO140:AO145" si="351">1/AJ140</f>
        <v>#DIV/0!</v>
      </c>
      <c r="AP140" s="42" t="e">
        <f t="shared" ref="AP140:AP145" si="352">SQRT(AO140)</f>
        <v>#DIV/0!</v>
      </c>
      <c r="AQ140" s="39">
        <f t="shared" ref="AQ140:AQ146" si="353">$H$2</f>
        <v>1.9599639845400536</v>
      </c>
      <c r="AR140" s="40" t="e">
        <f t="shared" ref="AR140:AR145" si="354">AM140-(AQ140*AP140)</f>
        <v>#DIV/0!</v>
      </c>
      <c r="AS140" s="40" t="e">
        <f t="shared" ref="AS140:AS145" si="355">AM140+(1.96*AP140)</f>
        <v>#DIV/0!</v>
      </c>
      <c r="AT140" s="52" t="e">
        <f t="shared" ref="AT140:AU145" si="356">EXP(AR140)</f>
        <v>#DIV/0!</v>
      </c>
      <c r="AU140" s="52" t="e">
        <f t="shared" si="356"/>
        <v>#DIV/0!</v>
      </c>
      <c r="AV140" s="16"/>
      <c r="AX140" s="53"/>
      <c r="AY140" s="53">
        <v>1</v>
      </c>
      <c r="AZ140" s="54"/>
      <c r="BA140" s="54"/>
      <c r="BC140" s="27"/>
      <c r="BD140" s="27"/>
      <c r="BE140" s="2"/>
      <c r="BF140" s="2"/>
      <c r="BG140" s="2"/>
      <c r="BH140" s="2"/>
      <c r="BI140" s="2"/>
      <c r="BJ140" s="2"/>
      <c r="BK140" s="2"/>
      <c r="BL140" s="2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</row>
    <row r="141" spans="2:75" hidden="1">
      <c r="B141" s="28" t="s">
        <v>52</v>
      </c>
      <c r="C141" s="29"/>
      <c r="D141" s="30">
        <f t="shared" si="331"/>
        <v>0</v>
      </c>
      <c r="E141" s="31"/>
      <c r="F141" s="29"/>
      <c r="G141" s="30">
        <f t="shared" si="332"/>
        <v>0</v>
      </c>
      <c r="H141" s="31"/>
      <c r="I141" s="32"/>
      <c r="K141" s="33" t="e">
        <f t="shared" si="333"/>
        <v>#DIV/0!</v>
      </c>
      <c r="L141" s="34" t="e">
        <f t="shared" si="330"/>
        <v>#DIV/0!</v>
      </c>
      <c r="M141" s="35" t="e">
        <f t="shared" si="334"/>
        <v>#DIV/0!</v>
      </c>
      <c r="N141" s="36" t="e">
        <f t="shared" si="335"/>
        <v>#DIV/0!</v>
      </c>
      <c r="O141" s="36" t="e">
        <f t="shared" si="336"/>
        <v>#DIV/0!</v>
      </c>
      <c r="P141" s="36" t="e">
        <f t="shared" si="337"/>
        <v>#DIV/0!</v>
      </c>
      <c r="Q141" s="110" t="e">
        <f t="shared" si="338"/>
        <v>#DIV/0!</v>
      </c>
      <c r="R141" s="38" t="e">
        <f t="shared" si="339"/>
        <v>#DIV/0!</v>
      </c>
      <c r="S141" s="39">
        <f t="shared" si="340"/>
        <v>1.9599639845400536</v>
      </c>
      <c r="T141" s="40" t="e">
        <f t="shared" si="341"/>
        <v>#DIV/0!</v>
      </c>
      <c r="U141" s="40" t="e">
        <f t="shared" si="342"/>
        <v>#DIV/0!</v>
      </c>
      <c r="V141" s="41" t="e">
        <f t="shared" si="343"/>
        <v>#DIV/0!</v>
      </c>
      <c r="W141" s="42" t="e">
        <f t="shared" si="343"/>
        <v>#DIV/0!</v>
      </c>
      <c r="X141" s="43"/>
      <c r="Z141" s="44" t="e">
        <f>(N141-P146)^2</f>
        <v>#DIV/0!</v>
      </c>
      <c r="AA141" s="45" t="e">
        <f t="shared" si="344"/>
        <v>#DIV/0!</v>
      </c>
      <c r="AB141" s="2">
        <v>1</v>
      </c>
      <c r="AC141" s="27"/>
      <c r="AD141" s="27"/>
      <c r="AE141" s="35" t="e">
        <f t="shared" si="345"/>
        <v>#DIV/0!</v>
      </c>
      <c r="AF141" s="46"/>
      <c r="AG141" s="47" t="e">
        <f>AG146</f>
        <v>#DIV/0!</v>
      </c>
      <c r="AH141" s="47" t="e">
        <f>AH146</f>
        <v>#DIV/0!</v>
      </c>
      <c r="AI141" s="45" t="e">
        <f t="shared" si="346"/>
        <v>#DIV/0!</v>
      </c>
      <c r="AJ141" s="48" t="e">
        <f t="shared" si="347"/>
        <v>#DIV/0!</v>
      </c>
      <c r="AK141" s="49" t="e">
        <f>AJ141/AJ146</f>
        <v>#DIV/0!</v>
      </c>
      <c r="AL141" s="50" t="e">
        <f t="shared" si="348"/>
        <v>#DIV/0!</v>
      </c>
      <c r="AM141" s="50" t="e">
        <f t="shared" si="349"/>
        <v>#DIV/0!</v>
      </c>
      <c r="AN141" s="42" t="e">
        <f t="shared" si="350"/>
        <v>#DIV/0!</v>
      </c>
      <c r="AO141" s="51" t="e">
        <f t="shared" si="351"/>
        <v>#DIV/0!</v>
      </c>
      <c r="AP141" s="42" t="e">
        <f t="shared" si="352"/>
        <v>#DIV/0!</v>
      </c>
      <c r="AQ141" s="39">
        <f t="shared" si="353"/>
        <v>1.9599639845400536</v>
      </c>
      <c r="AR141" s="40" t="e">
        <f t="shared" si="354"/>
        <v>#DIV/0!</v>
      </c>
      <c r="AS141" s="40" t="e">
        <f t="shared" si="355"/>
        <v>#DIV/0!</v>
      </c>
      <c r="AT141" s="52" t="e">
        <f t="shared" si="356"/>
        <v>#DIV/0!</v>
      </c>
      <c r="AU141" s="52" t="e">
        <f t="shared" si="356"/>
        <v>#DIV/0!</v>
      </c>
      <c r="AV141" s="16"/>
      <c r="AX141" s="53"/>
      <c r="AY141" s="53">
        <v>1</v>
      </c>
      <c r="AZ141" s="54"/>
      <c r="BA141" s="54"/>
      <c r="BC141" s="27"/>
      <c r="BD141" s="27"/>
      <c r="BE141" s="2"/>
      <c r="BF141" s="2"/>
      <c r="BG141" s="2"/>
      <c r="BH141" s="2"/>
      <c r="BI141" s="2"/>
      <c r="BJ141" s="2"/>
      <c r="BK141" s="2"/>
      <c r="BL141" s="2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</row>
    <row r="142" spans="2:75" hidden="1">
      <c r="B142" s="28" t="s">
        <v>53</v>
      </c>
      <c r="C142" s="29"/>
      <c r="D142" s="30">
        <f t="shared" si="331"/>
        <v>0</v>
      </c>
      <c r="E142" s="31"/>
      <c r="F142" s="29"/>
      <c r="G142" s="30">
        <f t="shared" si="332"/>
        <v>0</v>
      </c>
      <c r="H142" s="31"/>
      <c r="I142" s="32"/>
      <c r="K142" s="33" t="e">
        <f t="shared" si="333"/>
        <v>#DIV/0!</v>
      </c>
      <c r="L142" s="34" t="e">
        <f t="shared" si="330"/>
        <v>#DIV/0!</v>
      </c>
      <c r="M142" s="35" t="e">
        <f t="shared" si="334"/>
        <v>#DIV/0!</v>
      </c>
      <c r="N142" s="36" t="e">
        <f t="shared" si="335"/>
        <v>#DIV/0!</v>
      </c>
      <c r="O142" s="36" t="e">
        <f t="shared" si="336"/>
        <v>#DIV/0!</v>
      </c>
      <c r="P142" s="36" t="e">
        <f t="shared" si="337"/>
        <v>#DIV/0!</v>
      </c>
      <c r="Q142" s="110" t="e">
        <f t="shared" si="338"/>
        <v>#DIV/0!</v>
      </c>
      <c r="R142" s="38" t="e">
        <f t="shared" si="339"/>
        <v>#DIV/0!</v>
      </c>
      <c r="S142" s="39">
        <f t="shared" si="340"/>
        <v>1.9599639845400536</v>
      </c>
      <c r="T142" s="40" t="e">
        <f t="shared" si="341"/>
        <v>#DIV/0!</v>
      </c>
      <c r="U142" s="40" t="e">
        <f t="shared" si="342"/>
        <v>#DIV/0!</v>
      </c>
      <c r="V142" s="41" t="e">
        <f t="shared" si="343"/>
        <v>#DIV/0!</v>
      </c>
      <c r="W142" s="42" t="e">
        <f t="shared" si="343"/>
        <v>#DIV/0!</v>
      </c>
      <c r="X142" s="43"/>
      <c r="Z142" s="44" t="e">
        <f>(N142-P146)^2</f>
        <v>#DIV/0!</v>
      </c>
      <c r="AA142" s="45" t="e">
        <f t="shared" si="344"/>
        <v>#DIV/0!</v>
      </c>
      <c r="AB142" s="2">
        <v>1</v>
      </c>
      <c r="AC142" s="27"/>
      <c r="AD142" s="27"/>
      <c r="AE142" s="35" t="e">
        <f t="shared" si="345"/>
        <v>#DIV/0!</v>
      </c>
      <c r="AF142" s="46"/>
      <c r="AG142" s="47" t="e">
        <f>AG146</f>
        <v>#DIV/0!</v>
      </c>
      <c r="AH142" s="47" t="e">
        <f>AH146</f>
        <v>#DIV/0!</v>
      </c>
      <c r="AI142" s="45" t="e">
        <f t="shared" si="346"/>
        <v>#DIV/0!</v>
      </c>
      <c r="AJ142" s="48" t="e">
        <f t="shared" si="347"/>
        <v>#DIV/0!</v>
      </c>
      <c r="AK142" s="49" t="e">
        <f>AJ142/AJ146</f>
        <v>#DIV/0!</v>
      </c>
      <c r="AL142" s="50" t="e">
        <f t="shared" si="348"/>
        <v>#DIV/0!</v>
      </c>
      <c r="AM142" s="50" t="e">
        <f t="shared" si="349"/>
        <v>#DIV/0!</v>
      </c>
      <c r="AN142" s="42" t="e">
        <f t="shared" si="350"/>
        <v>#DIV/0!</v>
      </c>
      <c r="AO142" s="51" t="e">
        <f t="shared" si="351"/>
        <v>#DIV/0!</v>
      </c>
      <c r="AP142" s="42" t="e">
        <f t="shared" si="352"/>
        <v>#DIV/0!</v>
      </c>
      <c r="AQ142" s="39">
        <f t="shared" si="353"/>
        <v>1.9599639845400536</v>
      </c>
      <c r="AR142" s="40" t="e">
        <f t="shared" si="354"/>
        <v>#DIV/0!</v>
      </c>
      <c r="AS142" s="40" t="e">
        <f t="shared" si="355"/>
        <v>#DIV/0!</v>
      </c>
      <c r="AT142" s="52" t="e">
        <f t="shared" si="356"/>
        <v>#DIV/0!</v>
      </c>
      <c r="AU142" s="52" t="e">
        <f t="shared" si="356"/>
        <v>#DIV/0!</v>
      </c>
      <c r="AV142" s="16"/>
      <c r="AX142" s="53"/>
      <c r="AY142" s="53">
        <v>1</v>
      </c>
      <c r="AZ142" s="54"/>
      <c r="BA142" s="54"/>
      <c r="BC142" s="27"/>
      <c r="BD142" s="27"/>
      <c r="BE142" s="2"/>
      <c r="BF142" s="2"/>
      <c r="BG142" s="2"/>
      <c r="BH142" s="2"/>
      <c r="BI142" s="2"/>
      <c r="BJ142" s="2"/>
      <c r="BK142" s="2"/>
      <c r="BL142" s="2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</row>
    <row r="143" spans="2:75" hidden="1">
      <c r="B143" s="28" t="s">
        <v>54</v>
      </c>
      <c r="C143" s="29"/>
      <c r="D143" s="30">
        <f t="shared" si="331"/>
        <v>0</v>
      </c>
      <c r="E143" s="31"/>
      <c r="F143" s="29"/>
      <c r="G143" s="30">
        <f t="shared" si="332"/>
        <v>0</v>
      </c>
      <c r="H143" s="31"/>
      <c r="I143" s="32"/>
      <c r="K143" s="33" t="e">
        <f t="shared" si="333"/>
        <v>#DIV/0!</v>
      </c>
      <c r="L143" s="34" t="e">
        <f t="shared" si="330"/>
        <v>#DIV/0!</v>
      </c>
      <c r="M143" s="35" t="e">
        <f t="shared" si="334"/>
        <v>#DIV/0!</v>
      </c>
      <c r="N143" s="36" t="e">
        <f t="shared" si="335"/>
        <v>#DIV/0!</v>
      </c>
      <c r="O143" s="36" t="e">
        <f t="shared" si="336"/>
        <v>#DIV/0!</v>
      </c>
      <c r="P143" s="36" t="e">
        <f t="shared" si="337"/>
        <v>#DIV/0!</v>
      </c>
      <c r="Q143" s="110" t="e">
        <f t="shared" si="338"/>
        <v>#DIV/0!</v>
      </c>
      <c r="R143" s="38" t="e">
        <f t="shared" si="339"/>
        <v>#DIV/0!</v>
      </c>
      <c r="S143" s="39">
        <f t="shared" si="340"/>
        <v>1.9599639845400536</v>
      </c>
      <c r="T143" s="40" t="e">
        <f t="shared" si="341"/>
        <v>#DIV/0!</v>
      </c>
      <c r="U143" s="40" t="e">
        <f t="shared" si="342"/>
        <v>#DIV/0!</v>
      </c>
      <c r="V143" s="41" t="e">
        <f t="shared" si="343"/>
        <v>#DIV/0!</v>
      </c>
      <c r="W143" s="42" t="e">
        <f t="shared" si="343"/>
        <v>#DIV/0!</v>
      </c>
      <c r="X143" s="43"/>
      <c r="Z143" s="44" t="e">
        <f>(N143-P146)^2</f>
        <v>#DIV/0!</v>
      </c>
      <c r="AA143" s="45" t="e">
        <f t="shared" si="344"/>
        <v>#DIV/0!</v>
      </c>
      <c r="AB143" s="2">
        <v>1</v>
      </c>
      <c r="AC143" s="27"/>
      <c r="AD143" s="27"/>
      <c r="AE143" s="35" t="e">
        <f t="shared" si="345"/>
        <v>#DIV/0!</v>
      </c>
      <c r="AF143" s="46"/>
      <c r="AG143" s="47" t="e">
        <f>AG146</f>
        <v>#DIV/0!</v>
      </c>
      <c r="AH143" s="47" t="e">
        <f>AH146</f>
        <v>#DIV/0!</v>
      </c>
      <c r="AI143" s="45" t="e">
        <f t="shared" si="346"/>
        <v>#DIV/0!</v>
      </c>
      <c r="AJ143" s="48" t="e">
        <f t="shared" si="347"/>
        <v>#DIV/0!</v>
      </c>
      <c r="AK143" s="49" t="e">
        <f>AJ143/AJ146</f>
        <v>#DIV/0!</v>
      </c>
      <c r="AL143" s="50" t="e">
        <f t="shared" si="348"/>
        <v>#DIV/0!</v>
      </c>
      <c r="AM143" s="50" t="e">
        <f t="shared" si="349"/>
        <v>#DIV/0!</v>
      </c>
      <c r="AN143" s="42" t="e">
        <f t="shared" si="350"/>
        <v>#DIV/0!</v>
      </c>
      <c r="AO143" s="51" t="e">
        <f t="shared" si="351"/>
        <v>#DIV/0!</v>
      </c>
      <c r="AP143" s="42" t="e">
        <f t="shared" si="352"/>
        <v>#DIV/0!</v>
      </c>
      <c r="AQ143" s="39">
        <f t="shared" si="353"/>
        <v>1.9599639845400536</v>
      </c>
      <c r="AR143" s="40" t="e">
        <f t="shared" si="354"/>
        <v>#DIV/0!</v>
      </c>
      <c r="AS143" s="40" t="e">
        <f t="shared" si="355"/>
        <v>#DIV/0!</v>
      </c>
      <c r="AT143" s="52" t="e">
        <f t="shared" si="356"/>
        <v>#DIV/0!</v>
      </c>
      <c r="AU143" s="52" t="e">
        <f t="shared" si="356"/>
        <v>#DIV/0!</v>
      </c>
      <c r="AV143" s="16"/>
      <c r="AX143" s="53"/>
      <c r="AY143" s="53">
        <v>1</v>
      </c>
      <c r="AZ143" s="54"/>
      <c r="BA143" s="54"/>
      <c r="BC143" s="27"/>
      <c r="BD143" s="27"/>
      <c r="BE143" s="2"/>
      <c r="BF143" s="2"/>
      <c r="BG143" s="2"/>
      <c r="BH143" s="2"/>
      <c r="BI143" s="2"/>
      <c r="BJ143" s="2"/>
      <c r="BK143" s="2"/>
      <c r="BL143" s="2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</row>
    <row r="144" spans="2:75" hidden="1">
      <c r="B144" s="28" t="s">
        <v>55</v>
      </c>
      <c r="C144" s="29"/>
      <c r="D144" s="30">
        <f t="shared" si="331"/>
        <v>0</v>
      </c>
      <c r="E144" s="31"/>
      <c r="F144" s="29"/>
      <c r="G144" s="30">
        <f t="shared" si="332"/>
        <v>0</v>
      </c>
      <c r="H144" s="31"/>
      <c r="I144" s="32"/>
      <c r="K144" s="33" t="e">
        <f t="shared" si="333"/>
        <v>#DIV/0!</v>
      </c>
      <c r="L144" s="34" t="e">
        <f t="shared" si="330"/>
        <v>#DIV/0!</v>
      </c>
      <c r="M144" s="35" t="e">
        <f t="shared" si="334"/>
        <v>#DIV/0!</v>
      </c>
      <c r="N144" s="36" t="e">
        <f t="shared" si="335"/>
        <v>#DIV/0!</v>
      </c>
      <c r="O144" s="36" t="e">
        <f t="shared" si="336"/>
        <v>#DIV/0!</v>
      </c>
      <c r="P144" s="36" t="e">
        <f t="shared" si="337"/>
        <v>#DIV/0!</v>
      </c>
      <c r="Q144" s="110" t="e">
        <f t="shared" si="338"/>
        <v>#DIV/0!</v>
      </c>
      <c r="R144" s="38" t="e">
        <f t="shared" si="339"/>
        <v>#DIV/0!</v>
      </c>
      <c r="S144" s="39">
        <f t="shared" si="340"/>
        <v>1.9599639845400536</v>
      </c>
      <c r="T144" s="40" t="e">
        <f t="shared" si="341"/>
        <v>#DIV/0!</v>
      </c>
      <c r="U144" s="40" t="e">
        <f t="shared" si="342"/>
        <v>#DIV/0!</v>
      </c>
      <c r="V144" s="41" t="e">
        <f t="shared" si="343"/>
        <v>#DIV/0!</v>
      </c>
      <c r="W144" s="42" t="e">
        <f t="shared" si="343"/>
        <v>#DIV/0!</v>
      </c>
      <c r="X144" s="43"/>
      <c r="Z144" s="44" t="e">
        <f>(N144-P146)^2</f>
        <v>#DIV/0!</v>
      </c>
      <c r="AA144" s="45" t="e">
        <f t="shared" si="344"/>
        <v>#DIV/0!</v>
      </c>
      <c r="AB144" s="2">
        <v>1</v>
      </c>
      <c r="AC144" s="27"/>
      <c r="AD144" s="27"/>
      <c r="AE144" s="35" t="e">
        <f t="shared" si="345"/>
        <v>#DIV/0!</v>
      </c>
      <c r="AF144" s="46"/>
      <c r="AG144" s="47" t="e">
        <f>AG146</f>
        <v>#DIV/0!</v>
      </c>
      <c r="AH144" s="47" t="e">
        <f>AH146</f>
        <v>#DIV/0!</v>
      </c>
      <c r="AI144" s="45" t="e">
        <f t="shared" si="346"/>
        <v>#DIV/0!</v>
      </c>
      <c r="AJ144" s="48" t="e">
        <f t="shared" si="347"/>
        <v>#DIV/0!</v>
      </c>
      <c r="AK144" s="49" t="e">
        <f>AJ144/AJ146</f>
        <v>#DIV/0!</v>
      </c>
      <c r="AL144" s="50" t="e">
        <f t="shared" si="348"/>
        <v>#DIV/0!</v>
      </c>
      <c r="AM144" s="50" t="e">
        <f t="shared" si="349"/>
        <v>#DIV/0!</v>
      </c>
      <c r="AN144" s="42" t="e">
        <f t="shared" si="350"/>
        <v>#DIV/0!</v>
      </c>
      <c r="AO144" s="51" t="e">
        <f t="shared" si="351"/>
        <v>#DIV/0!</v>
      </c>
      <c r="AP144" s="42" t="e">
        <f t="shared" si="352"/>
        <v>#DIV/0!</v>
      </c>
      <c r="AQ144" s="39">
        <f t="shared" si="353"/>
        <v>1.9599639845400536</v>
      </c>
      <c r="AR144" s="40" t="e">
        <f t="shared" si="354"/>
        <v>#DIV/0!</v>
      </c>
      <c r="AS144" s="40" t="e">
        <f t="shared" si="355"/>
        <v>#DIV/0!</v>
      </c>
      <c r="AT144" s="52" t="e">
        <f t="shared" si="356"/>
        <v>#DIV/0!</v>
      </c>
      <c r="AU144" s="52" t="e">
        <f t="shared" si="356"/>
        <v>#DIV/0!</v>
      </c>
      <c r="AV144" s="16"/>
      <c r="AX144" s="53"/>
      <c r="AY144" s="53">
        <v>1</v>
      </c>
      <c r="AZ144" s="54"/>
      <c r="BA144" s="54"/>
      <c r="BC144" s="27"/>
      <c r="BD144" s="27"/>
      <c r="BE144" s="2"/>
      <c r="BF144" s="2"/>
      <c r="BG144" s="2"/>
      <c r="BH144" s="2"/>
      <c r="BI144" s="2"/>
      <c r="BJ144" s="2"/>
      <c r="BK144" s="2"/>
      <c r="BL144" s="2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</row>
    <row r="145" spans="2:75" hidden="1">
      <c r="B145" s="28" t="s">
        <v>56</v>
      </c>
      <c r="C145" s="29"/>
      <c r="D145" s="30">
        <f t="shared" si="331"/>
        <v>0</v>
      </c>
      <c r="E145" s="31"/>
      <c r="F145" s="29"/>
      <c r="G145" s="30">
        <f t="shared" si="332"/>
        <v>0</v>
      </c>
      <c r="H145" s="31"/>
      <c r="I145" s="32"/>
      <c r="K145" s="33" t="e">
        <f t="shared" si="333"/>
        <v>#DIV/0!</v>
      </c>
      <c r="L145" s="34" t="e">
        <f t="shared" si="330"/>
        <v>#DIV/0!</v>
      </c>
      <c r="M145" s="35" t="e">
        <f t="shared" si="334"/>
        <v>#DIV/0!</v>
      </c>
      <c r="N145" s="36" t="e">
        <f t="shared" si="335"/>
        <v>#DIV/0!</v>
      </c>
      <c r="O145" s="36" t="e">
        <f t="shared" si="336"/>
        <v>#DIV/0!</v>
      </c>
      <c r="P145" s="36" t="e">
        <f t="shared" si="337"/>
        <v>#DIV/0!</v>
      </c>
      <c r="Q145" s="110" t="e">
        <f t="shared" si="338"/>
        <v>#DIV/0!</v>
      </c>
      <c r="R145" s="38" t="e">
        <f t="shared" si="339"/>
        <v>#DIV/0!</v>
      </c>
      <c r="S145" s="39">
        <f t="shared" si="340"/>
        <v>1.9599639845400536</v>
      </c>
      <c r="T145" s="40" t="e">
        <f t="shared" si="341"/>
        <v>#DIV/0!</v>
      </c>
      <c r="U145" s="40" t="e">
        <f t="shared" si="342"/>
        <v>#DIV/0!</v>
      </c>
      <c r="V145" s="41" t="e">
        <f t="shared" si="343"/>
        <v>#DIV/0!</v>
      </c>
      <c r="W145" s="42" t="e">
        <f t="shared" si="343"/>
        <v>#DIV/0!</v>
      </c>
      <c r="X145" s="43"/>
      <c r="Z145" s="44" t="e">
        <f>(N145-P146)^2</f>
        <v>#DIV/0!</v>
      </c>
      <c r="AA145" s="45" t="e">
        <f t="shared" si="344"/>
        <v>#DIV/0!</v>
      </c>
      <c r="AB145" s="2">
        <v>1</v>
      </c>
      <c r="AC145" s="27"/>
      <c r="AD145" s="27"/>
      <c r="AE145" s="35" t="e">
        <f t="shared" si="345"/>
        <v>#DIV/0!</v>
      </c>
      <c r="AF145" s="46"/>
      <c r="AG145" s="47" t="e">
        <f>AG146</f>
        <v>#DIV/0!</v>
      </c>
      <c r="AH145" s="47" t="e">
        <f>AH146</f>
        <v>#DIV/0!</v>
      </c>
      <c r="AI145" s="45" t="e">
        <f t="shared" si="346"/>
        <v>#DIV/0!</v>
      </c>
      <c r="AJ145" s="48" t="e">
        <f t="shared" si="347"/>
        <v>#DIV/0!</v>
      </c>
      <c r="AK145" s="49" t="e">
        <f>AJ145/AJ146</f>
        <v>#DIV/0!</v>
      </c>
      <c r="AL145" s="50" t="e">
        <f t="shared" si="348"/>
        <v>#DIV/0!</v>
      </c>
      <c r="AM145" s="50" t="e">
        <f t="shared" si="349"/>
        <v>#DIV/0!</v>
      </c>
      <c r="AN145" s="42" t="e">
        <f t="shared" si="350"/>
        <v>#DIV/0!</v>
      </c>
      <c r="AO145" s="51" t="e">
        <f t="shared" si="351"/>
        <v>#DIV/0!</v>
      </c>
      <c r="AP145" s="42" t="e">
        <f t="shared" si="352"/>
        <v>#DIV/0!</v>
      </c>
      <c r="AQ145" s="39">
        <f t="shared" si="353"/>
        <v>1.9599639845400536</v>
      </c>
      <c r="AR145" s="40" t="e">
        <f t="shared" si="354"/>
        <v>#DIV/0!</v>
      </c>
      <c r="AS145" s="40" t="e">
        <f t="shared" si="355"/>
        <v>#DIV/0!</v>
      </c>
      <c r="AT145" s="52" t="e">
        <f t="shared" si="356"/>
        <v>#DIV/0!</v>
      </c>
      <c r="AU145" s="52" t="e">
        <f t="shared" si="356"/>
        <v>#DIV/0!</v>
      </c>
      <c r="AV145" s="16"/>
      <c r="AX145" s="53"/>
      <c r="AY145" s="53">
        <v>1</v>
      </c>
      <c r="AZ145" s="54"/>
      <c r="BA145" s="54"/>
      <c r="BC145" s="27"/>
      <c r="BD145" s="27"/>
      <c r="BE145" s="2"/>
      <c r="BF145" s="2"/>
      <c r="BG145" s="2"/>
      <c r="BH145" s="2"/>
      <c r="BI145" s="2"/>
      <c r="BJ145" s="2"/>
      <c r="BK145" s="2"/>
      <c r="BL145" s="2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</row>
    <row r="146" spans="2:75" hidden="1">
      <c r="B146" s="55">
        <f>COUNT(D139:D145)</f>
        <v>7</v>
      </c>
      <c r="C146" s="56">
        <f t="shared" ref="C146:H146" si="357">SUM(C139:C145)</f>
        <v>0</v>
      </c>
      <c r="D146" s="56">
        <f t="shared" si="357"/>
        <v>0</v>
      </c>
      <c r="E146" s="56">
        <f t="shared" si="357"/>
        <v>0</v>
      </c>
      <c r="F146" s="56">
        <f t="shared" si="357"/>
        <v>0</v>
      </c>
      <c r="G146" s="56">
        <f t="shared" si="357"/>
        <v>0</v>
      </c>
      <c r="H146" s="56">
        <f t="shared" si="357"/>
        <v>0</v>
      </c>
      <c r="I146" s="57"/>
      <c r="K146" s="58"/>
      <c r="L146" s="112"/>
      <c r="M146" s="60" t="e">
        <f>SUM(M139:M145)</f>
        <v>#DIV/0!</v>
      </c>
      <c r="N146" s="61"/>
      <c r="O146" s="62" t="e">
        <f>SUM(O139:O145)</f>
        <v>#DIV/0!</v>
      </c>
      <c r="P146" s="63" t="e">
        <f>O146/M146</f>
        <v>#DIV/0!</v>
      </c>
      <c r="Q146" s="488" t="e">
        <f>EXP(P146)</f>
        <v>#DIV/0!</v>
      </c>
      <c r="R146" s="488" t="e">
        <f>SQRT(1/M146)</f>
        <v>#DIV/0!</v>
      </c>
      <c r="S146" s="489">
        <f t="shared" si="340"/>
        <v>1.9599639845400536</v>
      </c>
      <c r="T146" s="490" t="e">
        <f>P146-(R146*S146)</f>
        <v>#DIV/0!</v>
      </c>
      <c r="U146" s="490" t="e">
        <f>P146+(R146*S146)</f>
        <v>#DIV/0!</v>
      </c>
      <c r="V146" s="491" t="e">
        <f>EXP(T146)</f>
        <v>#DIV/0!</v>
      </c>
      <c r="W146" s="492" t="e">
        <f>EXP(U146)</f>
        <v>#DIV/0!</v>
      </c>
      <c r="X146" s="65"/>
      <c r="Y146" s="65"/>
      <c r="Z146" s="66"/>
      <c r="AA146" s="67" t="e">
        <f>SUM(AA139:AA145)</f>
        <v>#DIV/0!</v>
      </c>
      <c r="AB146" s="68">
        <f>SUM(AB139:AB145)</f>
        <v>7</v>
      </c>
      <c r="AC146" s="69" t="e">
        <f>AA146-(AB146-1)</f>
        <v>#DIV/0!</v>
      </c>
      <c r="AD146" s="60" t="e">
        <f>M146</f>
        <v>#DIV/0!</v>
      </c>
      <c r="AE146" s="60" t="e">
        <f>SUM(AE139:AE145)</f>
        <v>#DIV/0!</v>
      </c>
      <c r="AF146" s="70" t="e">
        <f>AE146/AD146</f>
        <v>#DIV/0!</v>
      </c>
      <c r="AG146" s="71" t="e">
        <f>AC146/(AD146-AF146)</f>
        <v>#DIV/0!</v>
      </c>
      <c r="AH146" s="71" t="e">
        <f>IF(AA146&lt;AB146-1,"0",AG146)</f>
        <v>#DIV/0!</v>
      </c>
      <c r="AI146" s="66"/>
      <c r="AJ146" s="60" t="e">
        <f>SUM(AJ139:AJ145)</f>
        <v>#DIV/0!</v>
      </c>
      <c r="AK146" s="72" t="e">
        <f>SUM(AK139:AK145)</f>
        <v>#DIV/0!</v>
      </c>
      <c r="AL146" s="69" t="e">
        <f>SUM(AL139:AL145)</f>
        <v>#DIV/0!</v>
      </c>
      <c r="AM146" s="69" t="e">
        <f>AL146/AJ146</f>
        <v>#DIV/0!</v>
      </c>
      <c r="AN146" s="493" t="e">
        <f>EXP(AM146)</f>
        <v>#DIV/0!</v>
      </c>
      <c r="AO146" s="73" t="e">
        <f>1/AJ146</f>
        <v>#DIV/0!</v>
      </c>
      <c r="AP146" s="74" t="e">
        <f>SQRT(AO146)</f>
        <v>#DIV/0!</v>
      </c>
      <c r="AQ146" s="39">
        <f t="shared" si="353"/>
        <v>1.9599639845400536</v>
      </c>
      <c r="AR146" s="64" t="e">
        <f>AM146-(AQ146*AP146)</f>
        <v>#DIV/0!</v>
      </c>
      <c r="AS146" s="64" t="e">
        <f>AM146+(1.96*AP146)</f>
        <v>#DIV/0!</v>
      </c>
      <c r="AT146" s="494" t="e">
        <f>EXP(AR146)</f>
        <v>#DIV/0!</v>
      </c>
      <c r="AU146" s="494" t="e">
        <f>EXP(AS146)</f>
        <v>#DIV/0!</v>
      </c>
      <c r="AV146" s="75"/>
      <c r="AW146" s="76"/>
      <c r="AX146" s="77" t="e">
        <f>AA146</f>
        <v>#DIV/0!</v>
      </c>
      <c r="AY146" s="55">
        <f>SUM(AY139:AY145)</f>
        <v>7</v>
      </c>
      <c r="AZ146" s="78" t="e">
        <f>(AX146-(AY146-1))/AX146</f>
        <v>#DIV/0!</v>
      </c>
      <c r="BA146" s="79" t="e">
        <f>IF(AA146&lt;AB146-1,"0%",AZ146)</f>
        <v>#DIV/0!</v>
      </c>
      <c r="BB146" s="76"/>
      <c r="BC146" s="62" t="e">
        <f>AX146/(AY146-1)</f>
        <v>#DIV/0!</v>
      </c>
      <c r="BD146" s="80" t="e">
        <f>LN(BC146)</f>
        <v>#DIV/0!</v>
      </c>
      <c r="BE146" s="62" t="e">
        <f>LN(AX146)</f>
        <v>#DIV/0!</v>
      </c>
      <c r="BF146" s="62">
        <f>LN(AY146-1)</f>
        <v>1.791759469228055</v>
      </c>
      <c r="BG146" s="62" t="e">
        <f>SQRT(2*AX146)</f>
        <v>#DIV/0!</v>
      </c>
      <c r="BH146" s="62">
        <f>SQRT(2*AY146-3)</f>
        <v>3.3166247903553998</v>
      </c>
      <c r="BI146" s="62">
        <f>2*(AY146-2)</f>
        <v>10</v>
      </c>
      <c r="BJ146" s="62">
        <f>3*(AY146-2)^2</f>
        <v>75</v>
      </c>
      <c r="BK146" s="62">
        <f>1/BI146</f>
        <v>0.1</v>
      </c>
      <c r="BL146" s="81">
        <f>1/BJ146</f>
        <v>1.3333333333333334E-2</v>
      </c>
      <c r="BM146" s="81">
        <f>SQRT(BK146*(1-BL146))</f>
        <v>0.31411250638372662</v>
      </c>
      <c r="BN146" s="82" t="e">
        <f>0.5*(BE146-BF146)/(BG146-BH146)</f>
        <v>#DIV/0!</v>
      </c>
      <c r="BO146" s="82" t="e">
        <f>IF(AA146&lt;=AB146,BM146,BN146)</f>
        <v>#DIV/0!</v>
      </c>
      <c r="BP146" s="69" t="e">
        <f>BD146-(1.96*BO146)</f>
        <v>#DIV/0!</v>
      </c>
      <c r="BQ146" s="69" t="e">
        <f>BD146+(1.96*BO146)</f>
        <v>#DIV/0!</v>
      </c>
      <c r="BR146" s="69"/>
      <c r="BS146" s="80" t="e">
        <f>EXP(BP146)</f>
        <v>#DIV/0!</v>
      </c>
      <c r="BT146" s="80" t="e">
        <f>EXP(BQ146)</f>
        <v>#DIV/0!</v>
      </c>
      <c r="BU146" s="83" t="e">
        <f>BA146</f>
        <v>#DIV/0!</v>
      </c>
      <c r="BV146" s="83" t="e">
        <f>(BS146-1)/BS146</f>
        <v>#DIV/0!</v>
      </c>
      <c r="BW146" s="83" t="e">
        <f>(BT146-1)/BT146</f>
        <v>#DIV/0!</v>
      </c>
    </row>
    <row r="147" spans="2:75" ht="13.5" hidden="1" thickBot="1">
      <c r="C147" s="84"/>
      <c r="D147" s="84"/>
      <c r="E147" s="84"/>
      <c r="F147" s="84"/>
      <c r="G147" s="84"/>
      <c r="H147" s="84"/>
      <c r="I147" s="85"/>
      <c r="R147" s="86"/>
      <c r="S147" s="86"/>
      <c r="T147" s="86"/>
      <c r="U147" s="86"/>
      <c r="V147" s="86"/>
      <c r="W147" s="86"/>
      <c r="X147" s="86"/>
      <c r="AB147" s="87"/>
      <c r="AC147" s="88"/>
      <c r="AD147" s="89"/>
      <c r="AE147" s="88"/>
      <c r="AF147" s="90"/>
      <c r="AG147" s="90"/>
      <c r="AH147" s="90"/>
      <c r="AI147" s="90"/>
      <c r="AT147" s="91"/>
      <c r="AU147" s="91"/>
      <c r="AV147" s="91"/>
      <c r="AX147" s="5" t="s">
        <v>59</v>
      </c>
      <c r="BG147" s="10"/>
      <c r="BN147" s="88" t="s">
        <v>60</v>
      </c>
      <c r="BT147" s="92" t="s">
        <v>61</v>
      </c>
      <c r="BU147" s="495" t="e">
        <f>BU146</f>
        <v>#DIV/0!</v>
      </c>
      <c r="BV147" s="495" t="e">
        <f>IF(BV146&lt;0,"0%",BV146)</f>
        <v>#DIV/0!</v>
      </c>
      <c r="BW147" s="496" t="e">
        <f>IF(BW146&lt;0,"0%",BW146)</f>
        <v>#DIV/0!</v>
      </c>
    </row>
    <row r="148" spans="2:75" ht="26.5" hidden="1" thickBot="1">
      <c r="B148" s="5"/>
      <c r="C148" s="93"/>
      <c r="D148" s="93"/>
      <c r="E148" s="93"/>
      <c r="F148" s="93"/>
      <c r="G148" s="93"/>
      <c r="H148" s="93"/>
      <c r="I148" s="94"/>
      <c r="J148" s="5"/>
      <c r="K148" s="5"/>
      <c r="R148" s="95"/>
      <c r="S148" s="95"/>
      <c r="T148" s="95"/>
      <c r="U148" s="95"/>
      <c r="V148" s="95"/>
      <c r="W148" s="95"/>
      <c r="X148" s="95"/>
      <c r="AF148" s="1"/>
      <c r="AI148" s="10"/>
      <c r="AJ148" s="96"/>
      <c r="AK148" s="96"/>
      <c r="AL148" s="97"/>
      <c r="AM148" s="98"/>
      <c r="AO148" s="99" t="s">
        <v>62</v>
      </c>
      <c r="AP148" s="100">
        <f>TINV((1-$H$1),(AB146-2))</f>
        <v>2.570581835636315</v>
      </c>
      <c r="AR148" s="497" t="s">
        <v>63</v>
      </c>
      <c r="AS148" s="101">
        <f>$H$1</f>
        <v>0.95</v>
      </c>
      <c r="AT148" s="498" t="e">
        <f>EXP(AM146-AP148*SQRT((1/AD146)+AH146))</f>
        <v>#DIV/0!</v>
      </c>
      <c r="AU148" s="498" t="e">
        <f>EXP(AM146+AP148*SQRT((1/AD146)+AH146))</f>
        <v>#DIV/0!</v>
      </c>
      <c r="AV148" s="16"/>
      <c r="AX148" s="102" t="e">
        <f>_xlfn.CHISQ.DIST.RT(AX146,AY146-1)</f>
        <v>#DIV/0!</v>
      </c>
      <c r="AY148" s="103" t="e">
        <f>IF(AX148&lt;0.05,"heterogeneidad","homogeneidad")</f>
        <v>#DIV/0!</v>
      </c>
      <c r="BF148" s="104"/>
      <c r="BG148" s="10"/>
      <c r="BH148" s="10"/>
      <c r="BJ148" s="43"/>
      <c r="BL148" s="10"/>
      <c r="BM148" s="105"/>
      <c r="BQ148" s="10"/>
    </row>
    <row r="149" spans="2:75" ht="14.5" hidden="1">
      <c r="B149" s="5"/>
      <c r="C149" s="93"/>
      <c r="D149" s="93"/>
      <c r="E149" s="93"/>
      <c r="F149" s="93"/>
      <c r="G149" s="93"/>
      <c r="H149" s="93"/>
      <c r="I149" s="94"/>
      <c r="J149" s="5"/>
      <c r="K149" s="5"/>
      <c r="R149" s="95"/>
      <c r="S149" s="95"/>
      <c r="T149" s="95"/>
      <c r="U149" s="95"/>
      <c r="V149" s="95"/>
      <c r="W149" s="95"/>
      <c r="X149" s="95"/>
      <c r="AF149" s="1"/>
      <c r="AI149" s="10"/>
      <c r="AJ149" s="96"/>
      <c r="AK149" s="96"/>
      <c r="AL149" s="97"/>
      <c r="AM149" s="98"/>
      <c r="AN149" s="106"/>
      <c r="AO149" s="107"/>
      <c r="AP149" s="13"/>
      <c r="AS149" s="108"/>
      <c r="AT149" s="16"/>
      <c r="AU149" s="16"/>
      <c r="AV149" s="16"/>
      <c r="BF149" s="104"/>
      <c r="BG149" s="10"/>
      <c r="BH149" s="10"/>
      <c r="BJ149" s="43"/>
      <c r="BL149" s="10"/>
      <c r="BM149" s="109"/>
      <c r="BQ149" s="10"/>
    </row>
    <row r="150" spans="2:75" ht="13" hidden="1" customHeight="1">
      <c r="C150" s="84"/>
      <c r="D150" s="84"/>
      <c r="E150" s="84"/>
      <c r="F150" s="84"/>
      <c r="G150" s="84"/>
      <c r="H150" s="84"/>
      <c r="I150" s="85"/>
      <c r="J150" s="668" t="s">
        <v>4</v>
      </c>
      <c r="K150" s="669"/>
      <c r="L150" s="669"/>
      <c r="M150" s="669"/>
      <c r="N150" s="669"/>
      <c r="O150" s="669"/>
      <c r="P150" s="669"/>
      <c r="Q150" s="669"/>
      <c r="R150" s="669"/>
      <c r="S150" s="669"/>
      <c r="T150" s="669"/>
      <c r="U150" s="669"/>
      <c r="V150" s="669"/>
      <c r="W150" s="670"/>
      <c r="X150" s="11"/>
      <c r="Y150" s="668" t="s">
        <v>5</v>
      </c>
      <c r="Z150" s="669"/>
      <c r="AA150" s="669"/>
      <c r="AB150" s="669"/>
      <c r="AC150" s="669"/>
      <c r="AD150" s="669"/>
      <c r="AE150" s="669"/>
      <c r="AF150" s="669"/>
      <c r="AG150" s="669"/>
      <c r="AH150" s="669"/>
      <c r="AI150" s="669"/>
      <c r="AJ150" s="669"/>
      <c r="AK150" s="669"/>
      <c r="AL150" s="669"/>
      <c r="AM150" s="669"/>
      <c r="AN150" s="669"/>
      <c r="AO150" s="669"/>
      <c r="AP150" s="669"/>
      <c r="AQ150" s="669"/>
      <c r="AR150" s="669"/>
      <c r="AS150" s="669"/>
      <c r="AT150" s="669"/>
      <c r="AU150" s="670"/>
      <c r="AV150" s="11"/>
      <c r="AW150" s="668" t="s">
        <v>232</v>
      </c>
      <c r="AX150" s="669"/>
      <c r="AY150" s="669"/>
      <c r="AZ150" s="669"/>
      <c r="BA150" s="669"/>
      <c r="BB150" s="669"/>
      <c r="BC150" s="669"/>
      <c r="BD150" s="669"/>
      <c r="BE150" s="669"/>
      <c r="BF150" s="669"/>
      <c r="BG150" s="669"/>
      <c r="BH150" s="669"/>
      <c r="BI150" s="669"/>
      <c r="BJ150" s="669"/>
      <c r="BK150" s="669"/>
      <c r="BL150" s="669"/>
      <c r="BM150" s="669"/>
      <c r="BN150" s="669"/>
      <c r="BO150" s="669"/>
      <c r="BP150" s="669"/>
      <c r="BQ150" s="669"/>
      <c r="BR150" s="669"/>
      <c r="BS150" s="669"/>
      <c r="BT150" s="669"/>
      <c r="BU150" s="669"/>
      <c r="BV150" s="669"/>
      <c r="BW150" s="670"/>
    </row>
    <row r="151" spans="2:75" hidden="1">
      <c r="B151" s="12" t="s">
        <v>6</v>
      </c>
      <c r="C151" s="677" t="s">
        <v>7</v>
      </c>
      <c r="D151" s="677"/>
      <c r="E151" s="677"/>
      <c r="F151" s="677" t="s">
        <v>8</v>
      </c>
      <c r="G151" s="677"/>
      <c r="H151" s="677"/>
      <c r="I151" s="13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</row>
    <row r="152" spans="2:75" ht="60" hidden="1">
      <c r="B152" s="503"/>
      <c r="C152" s="15" t="s">
        <v>9</v>
      </c>
      <c r="D152" s="15" t="s">
        <v>10</v>
      </c>
      <c r="E152" s="15" t="s">
        <v>11</v>
      </c>
      <c r="F152" s="15" t="s">
        <v>9</v>
      </c>
      <c r="G152" s="15" t="s">
        <v>10</v>
      </c>
      <c r="H152" s="15" t="s">
        <v>11</v>
      </c>
      <c r="I152" s="16"/>
      <c r="K152" s="17" t="s">
        <v>12</v>
      </c>
      <c r="L152" s="17" t="s">
        <v>13</v>
      </c>
      <c r="M152" s="17" t="s">
        <v>14</v>
      </c>
      <c r="N152" s="18" t="s">
        <v>15</v>
      </c>
      <c r="O152" s="18" t="s">
        <v>16</v>
      </c>
      <c r="P152" s="18" t="s">
        <v>17</v>
      </c>
      <c r="Q152" s="486" t="s">
        <v>18</v>
      </c>
      <c r="R152" s="486" t="s">
        <v>19</v>
      </c>
      <c r="S152" s="487" t="s">
        <v>3</v>
      </c>
      <c r="T152" s="486" t="s">
        <v>20</v>
      </c>
      <c r="U152" s="486" t="s">
        <v>21</v>
      </c>
      <c r="V152" s="486" t="s">
        <v>22</v>
      </c>
      <c r="W152" s="486" t="s">
        <v>22</v>
      </c>
      <c r="X152" s="19"/>
      <c r="Y152" s="20"/>
      <c r="Z152" s="21" t="s">
        <v>23</v>
      </c>
      <c r="AA152" s="18" t="s">
        <v>24</v>
      </c>
      <c r="AB152" s="3" t="s">
        <v>25</v>
      </c>
      <c r="AC152" s="3" t="s">
        <v>26</v>
      </c>
      <c r="AD152" s="3" t="s">
        <v>27</v>
      </c>
      <c r="AE152" s="18" t="s">
        <v>28</v>
      </c>
      <c r="AF152" s="18" t="s">
        <v>29</v>
      </c>
      <c r="AG152" s="22" t="s">
        <v>30</v>
      </c>
      <c r="AH152" s="22" t="s">
        <v>31</v>
      </c>
      <c r="AI152" s="3" t="s">
        <v>32</v>
      </c>
      <c r="AJ152" s="18" t="s">
        <v>33</v>
      </c>
      <c r="AK152" s="18" t="s">
        <v>34</v>
      </c>
      <c r="AL152" s="18" t="s">
        <v>35</v>
      </c>
      <c r="AM152" s="3" t="s">
        <v>36</v>
      </c>
      <c r="AN152" s="487" t="s">
        <v>37</v>
      </c>
      <c r="AO152" s="18" t="s">
        <v>38</v>
      </c>
      <c r="AP152" s="18" t="s">
        <v>39</v>
      </c>
      <c r="AQ152" s="3" t="s">
        <v>3</v>
      </c>
      <c r="AR152" s="18" t="s">
        <v>40</v>
      </c>
      <c r="AS152" s="18" t="s">
        <v>41</v>
      </c>
      <c r="AT152" s="486" t="s">
        <v>22</v>
      </c>
      <c r="AU152" s="486" t="s">
        <v>22</v>
      </c>
      <c r="AV152" s="19"/>
      <c r="AX152" s="23" t="s">
        <v>42</v>
      </c>
      <c r="AY152" s="23" t="s">
        <v>25</v>
      </c>
      <c r="AZ152" s="24" t="s">
        <v>64</v>
      </c>
      <c r="BA152" s="25" t="s">
        <v>65</v>
      </c>
      <c r="BC152" s="3" t="s">
        <v>66</v>
      </c>
      <c r="BD152" s="3" t="s">
        <v>67</v>
      </c>
      <c r="BE152" s="3" t="s">
        <v>43</v>
      </c>
      <c r="BF152" s="3" t="s">
        <v>44</v>
      </c>
      <c r="BG152" s="3" t="s">
        <v>45</v>
      </c>
      <c r="BH152" s="3" t="s">
        <v>46</v>
      </c>
      <c r="BI152" s="3" t="s">
        <v>47</v>
      </c>
      <c r="BJ152" s="3" t="s">
        <v>68</v>
      </c>
      <c r="BK152" s="3" t="s">
        <v>48</v>
      </c>
      <c r="BL152" s="3" t="s">
        <v>49</v>
      </c>
      <c r="BM152" s="26" t="s">
        <v>69</v>
      </c>
      <c r="BN152" s="26" t="s">
        <v>70</v>
      </c>
      <c r="BO152" s="26" t="s">
        <v>71</v>
      </c>
      <c r="BP152" s="26" t="s">
        <v>72</v>
      </c>
      <c r="BQ152" s="26" t="s">
        <v>73</v>
      </c>
      <c r="BR152" s="27"/>
      <c r="BS152" s="18" t="s">
        <v>74</v>
      </c>
      <c r="BT152" s="18" t="s">
        <v>75</v>
      </c>
      <c r="BU152" s="486" t="s">
        <v>229</v>
      </c>
      <c r="BV152" s="486" t="s">
        <v>230</v>
      </c>
      <c r="BW152" s="486" t="s">
        <v>231</v>
      </c>
    </row>
    <row r="153" spans="2:75" hidden="1">
      <c r="B153" s="28" t="s">
        <v>50</v>
      </c>
      <c r="C153" s="29"/>
      <c r="D153" s="30">
        <f t="shared" ref="D153:D158" si="358">E153-C153</f>
        <v>0</v>
      </c>
      <c r="E153" s="31"/>
      <c r="F153" s="29"/>
      <c r="G153" s="30">
        <f t="shared" ref="G153:G158" si="359">H153-F153</f>
        <v>0</v>
      </c>
      <c r="H153" s="31"/>
      <c r="I153" s="32"/>
      <c r="K153" s="33" t="e">
        <f t="shared" ref="K153:K158" si="360">(C153/E153)/(F153/H153)</f>
        <v>#DIV/0!</v>
      </c>
      <c r="L153" s="34" t="e">
        <f t="shared" ref="L153:L158" si="361">(D153/(C153*E153)+(G153/(F153*H153)))</f>
        <v>#DIV/0!</v>
      </c>
      <c r="M153" s="35" t="e">
        <f t="shared" ref="M153:M158" si="362">1/L153</f>
        <v>#DIV/0!</v>
      </c>
      <c r="N153" s="36" t="e">
        <f t="shared" ref="N153:N158" si="363">LN(K153)</f>
        <v>#DIV/0!</v>
      </c>
      <c r="O153" s="36" t="e">
        <f t="shared" ref="O153:O158" si="364">M153*N153</f>
        <v>#DIV/0!</v>
      </c>
      <c r="P153" s="36" t="e">
        <f t="shared" ref="P153:P158" si="365">LN(K153)</f>
        <v>#DIV/0!</v>
      </c>
      <c r="Q153" s="110" t="e">
        <f t="shared" ref="Q153:Q158" si="366">K153</f>
        <v>#DIV/0!</v>
      </c>
      <c r="R153" s="38" t="e">
        <f t="shared" ref="R153:R159" si="367">SQRT(1/M153)</f>
        <v>#DIV/0!</v>
      </c>
      <c r="S153" s="39">
        <f>$H$2</f>
        <v>1.9599639845400536</v>
      </c>
      <c r="T153" s="40" t="e">
        <f t="shared" ref="T153:T159" si="368">P153-(R153*S153)</f>
        <v>#DIV/0!</v>
      </c>
      <c r="U153" s="40" t="e">
        <f t="shared" ref="U153:U159" si="369">P153+(R153*S153)</f>
        <v>#DIV/0!</v>
      </c>
      <c r="V153" s="41" t="e">
        <f>EXP(T153)</f>
        <v>#DIV/0!</v>
      </c>
      <c r="W153" s="42" t="e">
        <f>EXP(U153)</f>
        <v>#DIV/0!</v>
      </c>
      <c r="X153" s="43"/>
      <c r="Z153" s="44" t="e">
        <f>(N153-P159)^2</f>
        <v>#DIV/0!</v>
      </c>
      <c r="AA153" s="45" t="e">
        <f t="shared" ref="AA153:AA158" si="370">M153*Z153</f>
        <v>#DIV/0!</v>
      </c>
      <c r="AB153" s="2">
        <v>1</v>
      </c>
      <c r="AC153" s="27"/>
      <c r="AD153" s="27"/>
      <c r="AE153" s="35" t="e">
        <f t="shared" ref="AE153:AE158" si="371">M153^2</f>
        <v>#DIV/0!</v>
      </c>
      <c r="AF153" s="46"/>
      <c r="AG153" s="47" t="e">
        <f>AG159</f>
        <v>#DIV/0!</v>
      </c>
      <c r="AH153" s="47" t="e">
        <f>AH159</f>
        <v>#DIV/0!</v>
      </c>
      <c r="AI153" s="45" t="e">
        <f t="shared" ref="AI153:AI158" si="372">1/M153</f>
        <v>#DIV/0!</v>
      </c>
      <c r="AJ153" s="48" t="e">
        <f t="shared" ref="AJ153:AJ158" si="373">1/(AH153+AI153)</f>
        <v>#DIV/0!</v>
      </c>
      <c r="AK153" s="49" t="e">
        <f>AJ153/AJ159</f>
        <v>#DIV/0!</v>
      </c>
      <c r="AL153" s="50" t="e">
        <f t="shared" ref="AL153:AL158" si="374">AJ153*N153</f>
        <v>#DIV/0!</v>
      </c>
      <c r="AM153" s="50" t="e">
        <f t="shared" ref="AM153:AM159" si="375">AL153/AJ153</f>
        <v>#DIV/0!</v>
      </c>
      <c r="AN153" s="42" t="e">
        <f t="shared" ref="AN153:AN159" si="376">EXP(AM153)</f>
        <v>#DIV/0!</v>
      </c>
      <c r="AO153" s="51" t="e">
        <f t="shared" ref="AO153:AO159" si="377">1/AJ153</f>
        <v>#DIV/0!</v>
      </c>
      <c r="AP153" s="42" t="e">
        <f t="shared" ref="AP153:AP159" si="378">SQRT(AO153)</f>
        <v>#DIV/0!</v>
      </c>
      <c r="AQ153" s="39">
        <f>$H$2</f>
        <v>1.9599639845400536</v>
      </c>
      <c r="AR153" s="40" t="e">
        <f t="shared" ref="AR153:AR159" si="379">AM153-(AQ153*AP153)</f>
        <v>#DIV/0!</v>
      </c>
      <c r="AS153" s="40" t="e">
        <f t="shared" ref="AS153:AS159" si="380">AM153+(1.96*AP153)</f>
        <v>#DIV/0!</v>
      </c>
      <c r="AT153" s="52" t="e">
        <f>EXP(AR153)</f>
        <v>#DIV/0!</v>
      </c>
      <c r="AU153" s="52" t="e">
        <f>EXP(AS153)</f>
        <v>#DIV/0!</v>
      </c>
      <c r="AV153" s="16"/>
      <c r="AX153" s="53"/>
      <c r="AY153" s="53">
        <v>1</v>
      </c>
      <c r="AZ153" s="54"/>
      <c r="BA153" s="54"/>
      <c r="BC153" s="27"/>
      <c r="BD153" s="27"/>
      <c r="BE153" s="2"/>
      <c r="BF153" s="2"/>
      <c r="BG153" s="2"/>
      <c r="BH153" s="2"/>
      <c r="BI153" s="2"/>
      <c r="BJ153" s="2"/>
      <c r="BK153" s="2"/>
      <c r="BL153" s="2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</row>
    <row r="154" spans="2:75" hidden="1">
      <c r="B154" s="28" t="s">
        <v>51</v>
      </c>
      <c r="C154" s="29"/>
      <c r="D154" s="30">
        <f t="shared" si="358"/>
        <v>0</v>
      </c>
      <c r="E154" s="31"/>
      <c r="F154" s="29"/>
      <c r="G154" s="30">
        <f t="shared" si="359"/>
        <v>0</v>
      </c>
      <c r="H154" s="31"/>
      <c r="I154" s="32"/>
      <c r="K154" s="33" t="e">
        <f t="shared" si="360"/>
        <v>#DIV/0!</v>
      </c>
      <c r="L154" s="34" t="e">
        <f t="shared" si="361"/>
        <v>#DIV/0!</v>
      </c>
      <c r="M154" s="35" t="e">
        <f t="shared" si="362"/>
        <v>#DIV/0!</v>
      </c>
      <c r="N154" s="36" t="e">
        <f t="shared" si="363"/>
        <v>#DIV/0!</v>
      </c>
      <c r="O154" s="36" t="e">
        <f t="shared" si="364"/>
        <v>#DIV/0!</v>
      </c>
      <c r="P154" s="36" t="e">
        <f t="shared" si="365"/>
        <v>#DIV/0!</v>
      </c>
      <c r="Q154" s="110" t="e">
        <f t="shared" si="366"/>
        <v>#DIV/0!</v>
      </c>
      <c r="R154" s="38" t="e">
        <f t="shared" si="367"/>
        <v>#DIV/0!</v>
      </c>
      <c r="S154" s="39">
        <f t="shared" ref="S154:S159" si="381">$H$2</f>
        <v>1.9599639845400536</v>
      </c>
      <c r="T154" s="40" t="e">
        <f t="shared" si="368"/>
        <v>#DIV/0!</v>
      </c>
      <c r="U154" s="40" t="e">
        <f t="shared" si="369"/>
        <v>#DIV/0!</v>
      </c>
      <c r="V154" s="41" t="e">
        <f t="shared" ref="V154:W158" si="382">EXP(T154)</f>
        <v>#DIV/0!</v>
      </c>
      <c r="W154" s="42" t="e">
        <f t="shared" si="382"/>
        <v>#DIV/0!</v>
      </c>
      <c r="X154" s="43"/>
      <c r="Z154" s="44" t="e">
        <f>(N154-P159)^2</f>
        <v>#DIV/0!</v>
      </c>
      <c r="AA154" s="45" t="e">
        <f t="shared" si="370"/>
        <v>#DIV/0!</v>
      </c>
      <c r="AB154" s="2">
        <v>1</v>
      </c>
      <c r="AC154" s="27"/>
      <c r="AD154" s="27"/>
      <c r="AE154" s="35" t="e">
        <f t="shared" si="371"/>
        <v>#DIV/0!</v>
      </c>
      <c r="AF154" s="46"/>
      <c r="AG154" s="47" t="e">
        <f>AG159</f>
        <v>#DIV/0!</v>
      </c>
      <c r="AH154" s="47" t="e">
        <f>AH159</f>
        <v>#DIV/0!</v>
      </c>
      <c r="AI154" s="45" t="e">
        <f t="shared" si="372"/>
        <v>#DIV/0!</v>
      </c>
      <c r="AJ154" s="48" t="e">
        <f t="shared" si="373"/>
        <v>#DIV/0!</v>
      </c>
      <c r="AK154" s="49" t="e">
        <f>AJ154/AJ159</f>
        <v>#DIV/0!</v>
      </c>
      <c r="AL154" s="50" t="e">
        <f t="shared" si="374"/>
        <v>#DIV/0!</v>
      </c>
      <c r="AM154" s="50" t="e">
        <f t="shared" si="375"/>
        <v>#DIV/0!</v>
      </c>
      <c r="AN154" s="42" t="e">
        <f t="shared" si="376"/>
        <v>#DIV/0!</v>
      </c>
      <c r="AO154" s="51" t="e">
        <f t="shared" si="377"/>
        <v>#DIV/0!</v>
      </c>
      <c r="AP154" s="42" t="e">
        <f t="shared" si="378"/>
        <v>#DIV/0!</v>
      </c>
      <c r="AQ154" s="39">
        <f t="shared" ref="AQ154:AQ159" si="383">$H$2</f>
        <v>1.9599639845400536</v>
      </c>
      <c r="AR154" s="40" t="e">
        <f t="shared" si="379"/>
        <v>#DIV/0!</v>
      </c>
      <c r="AS154" s="40" t="e">
        <f t="shared" si="380"/>
        <v>#DIV/0!</v>
      </c>
      <c r="AT154" s="52" t="e">
        <f t="shared" ref="AT154:AU158" si="384">EXP(AR154)</f>
        <v>#DIV/0!</v>
      </c>
      <c r="AU154" s="52" t="e">
        <f t="shared" si="384"/>
        <v>#DIV/0!</v>
      </c>
      <c r="AV154" s="16"/>
      <c r="AX154" s="53"/>
      <c r="AY154" s="53">
        <v>1</v>
      </c>
      <c r="AZ154" s="54"/>
      <c r="BA154" s="54"/>
      <c r="BC154" s="27"/>
      <c r="BD154" s="27"/>
      <c r="BE154" s="2"/>
      <c r="BF154" s="2"/>
      <c r="BG154" s="2"/>
      <c r="BH154" s="2"/>
      <c r="BI154" s="2"/>
      <c r="BJ154" s="2"/>
      <c r="BK154" s="2"/>
      <c r="BL154" s="2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</row>
    <row r="155" spans="2:75" hidden="1">
      <c r="B155" s="28" t="s">
        <v>52</v>
      </c>
      <c r="C155" s="29"/>
      <c r="D155" s="30">
        <f t="shared" si="358"/>
        <v>0</v>
      </c>
      <c r="E155" s="31"/>
      <c r="F155" s="29"/>
      <c r="G155" s="30">
        <f t="shared" si="359"/>
        <v>0</v>
      </c>
      <c r="H155" s="31"/>
      <c r="I155" s="32"/>
      <c r="K155" s="33" t="e">
        <f t="shared" si="360"/>
        <v>#DIV/0!</v>
      </c>
      <c r="L155" s="34" t="e">
        <f t="shared" si="361"/>
        <v>#DIV/0!</v>
      </c>
      <c r="M155" s="35" t="e">
        <f t="shared" si="362"/>
        <v>#DIV/0!</v>
      </c>
      <c r="N155" s="36" t="e">
        <f t="shared" si="363"/>
        <v>#DIV/0!</v>
      </c>
      <c r="O155" s="36" t="e">
        <f t="shared" si="364"/>
        <v>#DIV/0!</v>
      </c>
      <c r="P155" s="36" t="e">
        <f t="shared" si="365"/>
        <v>#DIV/0!</v>
      </c>
      <c r="Q155" s="110" t="e">
        <f t="shared" si="366"/>
        <v>#DIV/0!</v>
      </c>
      <c r="R155" s="38" t="e">
        <f t="shared" si="367"/>
        <v>#DIV/0!</v>
      </c>
      <c r="S155" s="39">
        <f t="shared" si="381"/>
        <v>1.9599639845400536</v>
      </c>
      <c r="T155" s="40" t="e">
        <f t="shared" si="368"/>
        <v>#DIV/0!</v>
      </c>
      <c r="U155" s="40" t="e">
        <f t="shared" si="369"/>
        <v>#DIV/0!</v>
      </c>
      <c r="V155" s="41" t="e">
        <f t="shared" si="382"/>
        <v>#DIV/0!</v>
      </c>
      <c r="W155" s="42" t="e">
        <f t="shared" si="382"/>
        <v>#DIV/0!</v>
      </c>
      <c r="X155" s="43"/>
      <c r="Z155" s="44" t="e">
        <f>(N155-P159)^2</f>
        <v>#DIV/0!</v>
      </c>
      <c r="AA155" s="45" t="e">
        <f t="shared" si="370"/>
        <v>#DIV/0!</v>
      </c>
      <c r="AB155" s="2">
        <v>1</v>
      </c>
      <c r="AC155" s="27"/>
      <c r="AD155" s="27"/>
      <c r="AE155" s="35" t="e">
        <f t="shared" si="371"/>
        <v>#DIV/0!</v>
      </c>
      <c r="AF155" s="46"/>
      <c r="AG155" s="47" t="e">
        <f>AG159</f>
        <v>#DIV/0!</v>
      </c>
      <c r="AH155" s="47" t="e">
        <f>AH159</f>
        <v>#DIV/0!</v>
      </c>
      <c r="AI155" s="45" t="e">
        <f t="shared" si="372"/>
        <v>#DIV/0!</v>
      </c>
      <c r="AJ155" s="48" t="e">
        <f t="shared" si="373"/>
        <v>#DIV/0!</v>
      </c>
      <c r="AK155" s="49" t="e">
        <f>AJ155/AJ159</f>
        <v>#DIV/0!</v>
      </c>
      <c r="AL155" s="50" t="e">
        <f t="shared" si="374"/>
        <v>#DIV/0!</v>
      </c>
      <c r="AM155" s="50" t="e">
        <f t="shared" si="375"/>
        <v>#DIV/0!</v>
      </c>
      <c r="AN155" s="42" t="e">
        <f t="shared" si="376"/>
        <v>#DIV/0!</v>
      </c>
      <c r="AO155" s="51" t="e">
        <f t="shared" si="377"/>
        <v>#DIV/0!</v>
      </c>
      <c r="AP155" s="42" t="e">
        <f t="shared" si="378"/>
        <v>#DIV/0!</v>
      </c>
      <c r="AQ155" s="39">
        <f t="shared" si="383"/>
        <v>1.9599639845400536</v>
      </c>
      <c r="AR155" s="40" t="e">
        <f t="shared" si="379"/>
        <v>#DIV/0!</v>
      </c>
      <c r="AS155" s="40" t="e">
        <f t="shared" si="380"/>
        <v>#DIV/0!</v>
      </c>
      <c r="AT155" s="52" t="e">
        <f t="shared" si="384"/>
        <v>#DIV/0!</v>
      </c>
      <c r="AU155" s="52" t="e">
        <f t="shared" si="384"/>
        <v>#DIV/0!</v>
      </c>
      <c r="AV155" s="16"/>
      <c r="AX155" s="53"/>
      <c r="AY155" s="53">
        <v>1</v>
      </c>
      <c r="AZ155" s="54"/>
      <c r="BA155" s="54"/>
      <c r="BC155" s="27"/>
      <c r="BD155" s="27"/>
      <c r="BE155" s="2"/>
      <c r="BF155" s="2"/>
      <c r="BG155" s="2"/>
      <c r="BH155" s="2"/>
      <c r="BI155" s="2"/>
      <c r="BJ155" s="2"/>
      <c r="BK155" s="2"/>
      <c r="BL155" s="2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</row>
    <row r="156" spans="2:75" hidden="1">
      <c r="B156" s="28" t="s">
        <v>53</v>
      </c>
      <c r="C156" s="29"/>
      <c r="D156" s="30">
        <f t="shared" si="358"/>
        <v>0</v>
      </c>
      <c r="E156" s="31"/>
      <c r="F156" s="29"/>
      <c r="G156" s="30">
        <f t="shared" si="359"/>
        <v>0</v>
      </c>
      <c r="H156" s="31"/>
      <c r="I156" s="32"/>
      <c r="K156" s="33" t="e">
        <f t="shared" si="360"/>
        <v>#DIV/0!</v>
      </c>
      <c r="L156" s="34" t="e">
        <f t="shared" si="361"/>
        <v>#DIV/0!</v>
      </c>
      <c r="M156" s="35" t="e">
        <f t="shared" si="362"/>
        <v>#DIV/0!</v>
      </c>
      <c r="N156" s="36" t="e">
        <f t="shared" si="363"/>
        <v>#DIV/0!</v>
      </c>
      <c r="O156" s="36" t="e">
        <f t="shared" si="364"/>
        <v>#DIV/0!</v>
      </c>
      <c r="P156" s="36" t="e">
        <f t="shared" si="365"/>
        <v>#DIV/0!</v>
      </c>
      <c r="Q156" s="110" t="e">
        <f t="shared" si="366"/>
        <v>#DIV/0!</v>
      </c>
      <c r="R156" s="38" t="e">
        <f t="shared" si="367"/>
        <v>#DIV/0!</v>
      </c>
      <c r="S156" s="39">
        <f t="shared" si="381"/>
        <v>1.9599639845400536</v>
      </c>
      <c r="T156" s="40" t="e">
        <f t="shared" si="368"/>
        <v>#DIV/0!</v>
      </c>
      <c r="U156" s="40" t="e">
        <f t="shared" si="369"/>
        <v>#DIV/0!</v>
      </c>
      <c r="V156" s="41" t="e">
        <f t="shared" si="382"/>
        <v>#DIV/0!</v>
      </c>
      <c r="W156" s="42" t="e">
        <f t="shared" si="382"/>
        <v>#DIV/0!</v>
      </c>
      <c r="X156" s="43"/>
      <c r="Z156" s="44" t="e">
        <f>(N156-P159)^2</f>
        <v>#DIV/0!</v>
      </c>
      <c r="AA156" s="45" t="e">
        <f t="shared" si="370"/>
        <v>#DIV/0!</v>
      </c>
      <c r="AB156" s="2">
        <v>1</v>
      </c>
      <c r="AC156" s="27"/>
      <c r="AD156" s="27"/>
      <c r="AE156" s="35" t="e">
        <f t="shared" si="371"/>
        <v>#DIV/0!</v>
      </c>
      <c r="AF156" s="46"/>
      <c r="AG156" s="47" t="e">
        <f>AG159</f>
        <v>#DIV/0!</v>
      </c>
      <c r="AH156" s="47" t="e">
        <f>AH159</f>
        <v>#DIV/0!</v>
      </c>
      <c r="AI156" s="45" t="e">
        <f t="shared" si="372"/>
        <v>#DIV/0!</v>
      </c>
      <c r="AJ156" s="48" t="e">
        <f t="shared" si="373"/>
        <v>#DIV/0!</v>
      </c>
      <c r="AK156" s="49" t="e">
        <f>AJ156/AJ159</f>
        <v>#DIV/0!</v>
      </c>
      <c r="AL156" s="50" t="e">
        <f t="shared" si="374"/>
        <v>#DIV/0!</v>
      </c>
      <c r="AM156" s="50" t="e">
        <f t="shared" si="375"/>
        <v>#DIV/0!</v>
      </c>
      <c r="AN156" s="42" t="e">
        <f t="shared" si="376"/>
        <v>#DIV/0!</v>
      </c>
      <c r="AO156" s="51" t="e">
        <f t="shared" si="377"/>
        <v>#DIV/0!</v>
      </c>
      <c r="AP156" s="42" t="e">
        <f t="shared" si="378"/>
        <v>#DIV/0!</v>
      </c>
      <c r="AQ156" s="39">
        <f t="shared" si="383"/>
        <v>1.9599639845400536</v>
      </c>
      <c r="AR156" s="40" t="e">
        <f t="shared" si="379"/>
        <v>#DIV/0!</v>
      </c>
      <c r="AS156" s="40" t="e">
        <f t="shared" si="380"/>
        <v>#DIV/0!</v>
      </c>
      <c r="AT156" s="52" t="e">
        <f t="shared" si="384"/>
        <v>#DIV/0!</v>
      </c>
      <c r="AU156" s="52" t="e">
        <f t="shared" si="384"/>
        <v>#DIV/0!</v>
      </c>
      <c r="AV156" s="16"/>
      <c r="AX156" s="53"/>
      <c r="AY156" s="53">
        <v>1</v>
      </c>
      <c r="AZ156" s="54"/>
      <c r="BA156" s="54"/>
      <c r="BC156" s="27"/>
      <c r="BD156" s="27"/>
      <c r="BE156" s="2"/>
      <c r="BF156" s="2"/>
      <c r="BG156" s="2"/>
      <c r="BH156" s="2"/>
      <c r="BI156" s="2"/>
      <c r="BJ156" s="2"/>
      <c r="BK156" s="2"/>
      <c r="BL156" s="2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</row>
    <row r="157" spans="2:75" hidden="1">
      <c r="B157" s="28" t="s">
        <v>54</v>
      </c>
      <c r="C157" s="29"/>
      <c r="D157" s="30">
        <f t="shared" si="358"/>
        <v>0</v>
      </c>
      <c r="E157" s="31"/>
      <c r="F157" s="29"/>
      <c r="G157" s="30">
        <f t="shared" si="359"/>
        <v>0</v>
      </c>
      <c r="H157" s="31"/>
      <c r="I157" s="32"/>
      <c r="K157" s="33" t="e">
        <f t="shared" si="360"/>
        <v>#DIV/0!</v>
      </c>
      <c r="L157" s="34" t="e">
        <f t="shared" si="361"/>
        <v>#DIV/0!</v>
      </c>
      <c r="M157" s="35" t="e">
        <f t="shared" si="362"/>
        <v>#DIV/0!</v>
      </c>
      <c r="N157" s="36" t="e">
        <f t="shared" si="363"/>
        <v>#DIV/0!</v>
      </c>
      <c r="O157" s="36" t="e">
        <f t="shared" si="364"/>
        <v>#DIV/0!</v>
      </c>
      <c r="P157" s="36" t="e">
        <f t="shared" si="365"/>
        <v>#DIV/0!</v>
      </c>
      <c r="Q157" s="110" t="e">
        <f t="shared" si="366"/>
        <v>#DIV/0!</v>
      </c>
      <c r="R157" s="38" t="e">
        <f t="shared" si="367"/>
        <v>#DIV/0!</v>
      </c>
      <c r="S157" s="39">
        <f t="shared" si="381"/>
        <v>1.9599639845400536</v>
      </c>
      <c r="T157" s="40" t="e">
        <f t="shared" si="368"/>
        <v>#DIV/0!</v>
      </c>
      <c r="U157" s="40" t="e">
        <f t="shared" si="369"/>
        <v>#DIV/0!</v>
      </c>
      <c r="V157" s="41" t="e">
        <f t="shared" si="382"/>
        <v>#DIV/0!</v>
      </c>
      <c r="W157" s="42" t="e">
        <f t="shared" si="382"/>
        <v>#DIV/0!</v>
      </c>
      <c r="X157" s="43"/>
      <c r="Z157" s="44" t="e">
        <f>(N157-P159)^2</f>
        <v>#DIV/0!</v>
      </c>
      <c r="AA157" s="45" t="e">
        <f t="shared" si="370"/>
        <v>#DIV/0!</v>
      </c>
      <c r="AB157" s="2">
        <v>1</v>
      </c>
      <c r="AC157" s="27"/>
      <c r="AD157" s="27"/>
      <c r="AE157" s="35" t="e">
        <f t="shared" si="371"/>
        <v>#DIV/0!</v>
      </c>
      <c r="AF157" s="46"/>
      <c r="AG157" s="47" t="e">
        <f>AG159</f>
        <v>#DIV/0!</v>
      </c>
      <c r="AH157" s="47" t="e">
        <f>AH159</f>
        <v>#DIV/0!</v>
      </c>
      <c r="AI157" s="45" t="e">
        <f t="shared" si="372"/>
        <v>#DIV/0!</v>
      </c>
      <c r="AJ157" s="48" t="e">
        <f t="shared" si="373"/>
        <v>#DIV/0!</v>
      </c>
      <c r="AK157" s="49" t="e">
        <f>AJ157/AJ159</f>
        <v>#DIV/0!</v>
      </c>
      <c r="AL157" s="50" t="e">
        <f t="shared" si="374"/>
        <v>#DIV/0!</v>
      </c>
      <c r="AM157" s="50" t="e">
        <f t="shared" si="375"/>
        <v>#DIV/0!</v>
      </c>
      <c r="AN157" s="42" t="e">
        <f t="shared" si="376"/>
        <v>#DIV/0!</v>
      </c>
      <c r="AO157" s="51" t="e">
        <f t="shared" si="377"/>
        <v>#DIV/0!</v>
      </c>
      <c r="AP157" s="42" t="e">
        <f t="shared" si="378"/>
        <v>#DIV/0!</v>
      </c>
      <c r="AQ157" s="39">
        <f t="shared" si="383"/>
        <v>1.9599639845400536</v>
      </c>
      <c r="AR157" s="40" t="e">
        <f t="shared" si="379"/>
        <v>#DIV/0!</v>
      </c>
      <c r="AS157" s="40" t="e">
        <f t="shared" si="380"/>
        <v>#DIV/0!</v>
      </c>
      <c r="AT157" s="52" t="e">
        <f t="shared" si="384"/>
        <v>#DIV/0!</v>
      </c>
      <c r="AU157" s="52" t="e">
        <f t="shared" si="384"/>
        <v>#DIV/0!</v>
      </c>
      <c r="AV157" s="16"/>
      <c r="AX157" s="53"/>
      <c r="AY157" s="53">
        <v>1</v>
      </c>
      <c r="AZ157" s="54"/>
      <c r="BA157" s="54"/>
      <c r="BC157" s="27"/>
      <c r="BD157" s="27"/>
      <c r="BE157" s="2"/>
      <c r="BF157" s="2"/>
      <c r="BG157" s="2"/>
      <c r="BH157" s="2"/>
      <c r="BI157" s="2"/>
      <c r="BJ157" s="2"/>
      <c r="BK157" s="2"/>
      <c r="BL157" s="2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</row>
    <row r="158" spans="2:75" hidden="1">
      <c r="B158" s="28" t="s">
        <v>55</v>
      </c>
      <c r="C158" s="29"/>
      <c r="D158" s="30">
        <f t="shared" si="358"/>
        <v>0</v>
      </c>
      <c r="E158" s="31"/>
      <c r="F158" s="29"/>
      <c r="G158" s="30">
        <f t="shared" si="359"/>
        <v>0</v>
      </c>
      <c r="H158" s="31"/>
      <c r="I158" s="32"/>
      <c r="K158" s="33" t="e">
        <f t="shared" si="360"/>
        <v>#DIV/0!</v>
      </c>
      <c r="L158" s="34" t="e">
        <f t="shared" si="361"/>
        <v>#DIV/0!</v>
      </c>
      <c r="M158" s="35" t="e">
        <f t="shared" si="362"/>
        <v>#DIV/0!</v>
      </c>
      <c r="N158" s="36" t="e">
        <f t="shared" si="363"/>
        <v>#DIV/0!</v>
      </c>
      <c r="O158" s="36" t="e">
        <f t="shared" si="364"/>
        <v>#DIV/0!</v>
      </c>
      <c r="P158" s="36" t="e">
        <f t="shared" si="365"/>
        <v>#DIV/0!</v>
      </c>
      <c r="Q158" s="110" t="e">
        <f t="shared" si="366"/>
        <v>#DIV/0!</v>
      </c>
      <c r="R158" s="38" t="e">
        <f t="shared" si="367"/>
        <v>#DIV/0!</v>
      </c>
      <c r="S158" s="39">
        <f t="shared" si="381"/>
        <v>1.9599639845400536</v>
      </c>
      <c r="T158" s="40" t="e">
        <f t="shared" si="368"/>
        <v>#DIV/0!</v>
      </c>
      <c r="U158" s="40" t="e">
        <f t="shared" si="369"/>
        <v>#DIV/0!</v>
      </c>
      <c r="V158" s="41" t="e">
        <f t="shared" si="382"/>
        <v>#DIV/0!</v>
      </c>
      <c r="W158" s="42" t="e">
        <f t="shared" si="382"/>
        <v>#DIV/0!</v>
      </c>
      <c r="X158" s="43"/>
      <c r="Z158" s="44" t="e">
        <f>(N158-P159)^2</f>
        <v>#DIV/0!</v>
      </c>
      <c r="AA158" s="45" t="e">
        <f t="shared" si="370"/>
        <v>#DIV/0!</v>
      </c>
      <c r="AB158" s="2">
        <v>1</v>
      </c>
      <c r="AC158" s="27"/>
      <c r="AD158" s="27"/>
      <c r="AE158" s="35" t="e">
        <f t="shared" si="371"/>
        <v>#DIV/0!</v>
      </c>
      <c r="AF158" s="46"/>
      <c r="AG158" s="47" t="e">
        <f>AG159</f>
        <v>#DIV/0!</v>
      </c>
      <c r="AH158" s="47" t="e">
        <f>AH159</f>
        <v>#DIV/0!</v>
      </c>
      <c r="AI158" s="45" t="e">
        <f t="shared" si="372"/>
        <v>#DIV/0!</v>
      </c>
      <c r="AJ158" s="48" t="e">
        <f t="shared" si="373"/>
        <v>#DIV/0!</v>
      </c>
      <c r="AK158" s="49" t="e">
        <f>AJ158/AJ159</f>
        <v>#DIV/0!</v>
      </c>
      <c r="AL158" s="50" t="e">
        <f t="shared" si="374"/>
        <v>#DIV/0!</v>
      </c>
      <c r="AM158" s="50" t="e">
        <f t="shared" si="375"/>
        <v>#DIV/0!</v>
      </c>
      <c r="AN158" s="42" t="e">
        <f t="shared" si="376"/>
        <v>#DIV/0!</v>
      </c>
      <c r="AO158" s="51" t="e">
        <f t="shared" si="377"/>
        <v>#DIV/0!</v>
      </c>
      <c r="AP158" s="42" t="e">
        <f t="shared" si="378"/>
        <v>#DIV/0!</v>
      </c>
      <c r="AQ158" s="39">
        <f t="shared" si="383"/>
        <v>1.9599639845400536</v>
      </c>
      <c r="AR158" s="40" t="e">
        <f t="shared" si="379"/>
        <v>#DIV/0!</v>
      </c>
      <c r="AS158" s="40" t="e">
        <f t="shared" si="380"/>
        <v>#DIV/0!</v>
      </c>
      <c r="AT158" s="52" t="e">
        <f t="shared" si="384"/>
        <v>#DIV/0!</v>
      </c>
      <c r="AU158" s="52" t="e">
        <f t="shared" si="384"/>
        <v>#DIV/0!</v>
      </c>
      <c r="AV158" s="16"/>
      <c r="AX158" s="53"/>
      <c r="AY158" s="53">
        <v>1</v>
      </c>
      <c r="AZ158" s="54"/>
      <c r="BA158" s="54"/>
      <c r="BC158" s="27"/>
      <c r="BD158" s="27"/>
      <c r="BE158" s="2"/>
      <c r="BF158" s="2"/>
      <c r="BG158" s="2"/>
      <c r="BH158" s="2"/>
      <c r="BI158" s="2"/>
      <c r="BJ158" s="2"/>
      <c r="BK158" s="2"/>
      <c r="BL158" s="2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</row>
    <row r="159" spans="2:75" hidden="1">
      <c r="B159" s="55">
        <f>COUNT(D153:D158)</f>
        <v>6</v>
      </c>
      <c r="C159" s="56">
        <f t="shared" ref="C159:H159" si="385">SUM(C153:C158)</f>
        <v>0</v>
      </c>
      <c r="D159" s="56">
        <f t="shared" si="385"/>
        <v>0</v>
      </c>
      <c r="E159" s="56">
        <f t="shared" si="385"/>
        <v>0</v>
      </c>
      <c r="F159" s="56">
        <f t="shared" si="385"/>
        <v>0</v>
      </c>
      <c r="G159" s="56">
        <f t="shared" si="385"/>
        <v>0</v>
      </c>
      <c r="H159" s="56">
        <f t="shared" si="385"/>
        <v>0</v>
      </c>
      <c r="I159" s="57"/>
      <c r="K159" s="58"/>
      <c r="L159" s="112"/>
      <c r="M159" s="60" t="e">
        <f>SUM(M153:M158)</f>
        <v>#DIV/0!</v>
      </c>
      <c r="N159" s="61"/>
      <c r="O159" s="62" t="e">
        <f>SUM(O153:O158)</f>
        <v>#DIV/0!</v>
      </c>
      <c r="P159" s="63" t="e">
        <f>O159/M159</f>
        <v>#DIV/0!</v>
      </c>
      <c r="Q159" s="488" t="e">
        <f>EXP(P159)</f>
        <v>#DIV/0!</v>
      </c>
      <c r="R159" s="488" t="e">
        <f t="shared" si="367"/>
        <v>#DIV/0!</v>
      </c>
      <c r="S159" s="489">
        <f t="shared" si="381"/>
        <v>1.9599639845400536</v>
      </c>
      <c r="T159" s="490" t="e">
        <f t="shared" si="368"/>
        <v>#DIV/0!</v>
      </c>
      <c r="U159" s="490" t="e">
        <f t="shared" si="369"/>
        <v>#DIV/0!</v>
      </c>
      <c r="V159" s="491" t="e">
        <f>EXP(T159)</f>
        <v>#DIV/0!</v>
      </c>
      <c r="W159" s="492" t="e">
        <f>EXP(U159)</f>
        <v>#DIV/0!</v>
      </c>
      <c r="X159" s="65"/>
      <c r="Y159" s="65"/>
      <c r="Z159" s="66"/>
      <c r="AA159" s="67" t="e">
        <f>SUM(AA153:AA158)</f>
        <v>#DIV/0!</v>
      </c>
      <c r="AB159" s="68">
        <f>SUM(AB153:AB158)</f>
        <v>6</v>
      </c>
      <c r="AC159" s="69" t="e">
        <f>AA159-(AB159-1)</f>
        <v>#DIV/0!</v>
      </c>
      <c r="AD159" s="60" t="e">
        <f>M159</f>
        <v>#DIV/0!</v>
      </c>
      <c r="AE159" s="60" t="e">
        <f>SUM(AE153:AE158)</f>
        <v>#DIV/0!</v>
      </c>
      <c r="AF159" s="70" t="e">
        <f>AE159/AD159</f>
        <v>#DIV/0!</v>
      </c>
      <c r="AG159" s="71" t="e">
        <f>AC159/(AD159-AF159)</f>
        <v>#DIV/0!</v>
      </c>
      <c r="AH159" s="71" t="e">
        <f>IF(AA159&lt;AB159-1,"0",AG159)</f>
        <v>#DIV/0!</v>
      </c>
      <c r="AI159" s="66"/>
      <c r="AJ159" s="60" t="e">
        <f>SUM(AJ153:AJ158)</f>
        <v>#DIV/0!</v>
      </c>
      <c r="AK159" s="72" t="e">
        <f>SUM(AK153:AK158)</f>
        <v>#DIV/0!</v>
      </c>
      <c r="AL159" s="69" t="e">
        <f>SUM(AL153:AL158)</f>
        <v>#DIV/0!</v>
      </c>
      <c r="AM159" s="69" t="e">
        <f t="shared" si="375"/>
        <v>#DIV/0!</v>
      </c>
      <c r="AN159" s="493" t="e">
        <f t="shared" si="376"/>
        <v>#DIV/0!</v>
      </c>
      <c r="AO159" s="73" t="e">
        <f t="shared" si="377"/>
        <v>#DIV/0!</v>
      </c>
      <c r="AP159" s="74" t="e">
        <f t="shared" si="378"/>
        <v>#DIV/0!</v>
      </c>
      <c r="AQ159" s="39">
        <f t="shared" si="383"/>
        <v>1.9599639845400536</v>
      </c>
      <c r="AR159" s="64" t="e">
        <f t="shared" si="379"/>
        <v>#DIV/0!</v>
      </c>
      <c r="AS159" s="64" t="e">
        <f t="shared" si="380"/>
        <v>#DIV/0!</v>
      </c>
      <c r="AT159" s="494" t="e">
        <f>EXP(AR159)</f>
        <v>#DIV/0!</v>
      </c>
      <c r="AU159" s="494" t="e">
        <f>EXP(AS159)</f>
        <v>#DIV/0!</v>
      </c>
      <c r="AV159" s="75"/>
      <c r="AW159" s="76"/>
      <c r="AX159" s="77" t="e">
        <f>AA159</f>
        <v>#DIV/0!</v>
      </c>
      <c r="AY159" s="55">
        <f>SUM(AY153:AY158)</f>
        <v>6</v>
      </c>
      <c r="AZ159" s="78" t="e">
        <f>(AX159-(AY159-1))/AX159</f>
        <v>#DIV/0!</v>
      </c>
      <c r="BA159" s="79" t="e">
        <f>IF(AA159&lt;AB159-1,"0%",AZ159)</f>
        <v>#DIV/0!</v>
      </c>
      <c r="BB159" s="76"/>
      <c r="BC159" s="62" t="e">
        <f>AX159/(AY159-1)</f>
        <v>#DIV/0!</v>
      </c>
      <c r="BD159" s="80" t="e">
        <f>LN(BC159)</f>
        <v>#DIV/0!</v>
      </c>
      <c r="BE159" s="62" t="e">
        <f>LN(AX159)</f>
        <v>#DIV/0!</v>
      </c>
      <c r="BF159" s="62">
        <f>LN(AY159-1)</f>
        <v>1.6094379124341003</v>
      </c>
      <c r="BG159" s="62" t="e">
        <f>SQRT(2*AX159)</f>
        <v>#DIV/0!</v>
      </c>
      <c r="BH159" s="62">
        <f>SQRT(2*AY159-3)</f>
        <v>3</v>
      </c>
      <c r="BI159" s="62">
        <f>2*(AY159-2)</f>
        <v>8</v>
      </c>
      <c r="BJ159" s="62">
        <f>3*(AY159-2)^2</f>
        <v>48</v>
      </c>
      <c r="BK159" s="62">
        <f>1/BI159</f>
        <v>0.125</v>
      </c>
      <c r="BL159" s="81">
        <f>1/BJ159</f>
        <v>2.0833333333333332E-2</v>
      </c>
      <c r="BM159" s="81">
        <f>SQRT(BK159*(1-BL159))</f>
        <v>0.34985115882805551</v>
      </c>
      <c r="BN159" s="82" t="e">
        <f>0.5*(BE159-BF159)/(BG159-BH159)</f>
        <v>#DIV/0!</v>
      </c>
      <c r="BO159" s="82" t="e">
        <f>IF(AA159&lt;=AB159,BM159,BN159)</f>
        <v>#DIV/0!</v>
      </c>
      <c r="BP159" s="69" t="e">
        <f>BD159-(1.96*BO159)</f>
        <v>#DIV/0!</v>
      </c>
      <c r="BQ159" s="69" t="e">
        <f>BD159+(1.96*BO159)</f>
        <v>#DIV/0!</v>
      </c>
      <c r="BR159" s="69"/>
      <c r="BS159" s="80" t="e">
        <f>EXP(BP159)</f>
        <v>#DIV/0!</v>
      </c>
      <c r="BT159" s="80" t="e">
        <f>EXP(BQ159)</f>
        <v>#DIV/0!</v>
      </c>
      <c r="BU159" s="83" t="e">
        <f>BA159</f>
        <v>#DIV/0!</v>
      </c>
      <c r="BV159" s="83" t="e">
        <f>(BS159-1)/BS159</f>
        <v>#DIV/0!</v>
      </c>
      <c r="BW159" s="83" t="e">
        <f>(BT159-1)/BT159</f>
        <v>#DIV/0!</v>
      </c>
    </row>
    <row r="160" spans="2:75" ht="13.5" hidden="1" thickBot="1">
      <c r="C160" s="84"/>
      <c r="D160" s="84"/>
      <c r="E160" s="84"/>
      <c r="F160" s="84"/>
      <c r="G160" s="84"/>
      <c r="H160" s="84"/>
      <c r="I160" s="85"/>
      <c r="R160" s="86"/>
      <c r="S160" s="86"/>
      <c r="T160" s="86"/>
      <c r="U160" s="86"/>
      <c r="V160" s="86"/>
      <c r="W160" s="86"/>
      <c r="X160" s="86"/>
      <c r="AB160" s="87"/>
      <c r="AC160" s="88"/>
      <c r="AD160" s="89"/>
      <c r="AE160" s="88"/>
      <c r="AF160" s="90"/>
      <c r="AG160" s="90"/>
      <c r="AH160" s="90"/>
      <c r="AI160" s="90"/>
      <c r="AT160" s="91"/>
      <c r="AU160" s="91"/>
      <c r="AV160" s="91"/>
      <c r="AX160" s="5" t="s">
        <v>59</v>
      </c>
      <c r="BG160" s="10"/>
      <c r="BN160" s="88" t="s">
        <v>60</v>
      </c>
      <c r="BT160" s="92" t="s">
        <v>61</v>
      </c>
      <c r="BU160" s="495" t="e">
        <f>BU159</f>
        <v>#DIV/0!</v>
      </c>
      <c r="BV160" s="495" t="e">
        <f>IF(BV159&lt;0,"0%",BV159)</f>
        <v>#DIV/0!</v>
      </c>
      <c r="BW160" s="496" t="e">
        <f>IF(BW159&lt;0,"0%",BW159)</f>
        <v>#DIV/0!</v>
      </c>
    </row>
    <row r="161" spans="2:75" ht="26.5" hidden="1" thickBot="1">
      <c r="B161" s="5"/>
      <c r="C161" s="93"/>
      <c r="D161" s="93"/>
      <c r="E161" s="93"/>
      <c r="F161" s="93"/>
      <c r="G161" s="93"/>
      <c r="H161" s="93"/>
      <c r="I161" s="94"/>
      <c r="J161" s="5"/>
      <c r="K161" s="5"/>
      <c r="R161" s="95"/>
      <c r="S161" s="95"/>
      <c r="T161" s="95"/>
      <c r="U161" s="95"/>
      <c r="V161" s="95"/>
      <c r="W161" s="95"/>
      <c r="X161" s="95"/>
      <c r="AF161" s="1"/>
      <c r="AI161" s="10"/>
      <c r="AJ161" s="96"/>
      <c r="AK161" s="96"/>
      <c r="AL161" s="97"/>
      <c r="AM161" s="98"/>
      <c r="AO161" s="99" t="s">
        <v>62</v>
      </c>
      <c r="AP161" s="100">
        <f>TINV((1-$H$1),(AB159-2))</f>
        <v>2.776445105197793</v>
      </c>
      <c r="AR161" s="497" t="s">
        <v>63</v>
      </c>
      <c r="AS161" s="101">
        <f>$H$1</f>
        <v>0.95</v>
      </c>
      <c r="AT161" s="498" t="e">
        <f>EXP(AM159-AP161*SQRT((1/AD159)+AH159))</f>
        <v>#DIV/0!</v>
      </c>
      <c r="AU161" s="498" t="e">
        <f>EXP(AM159+AP161*SQRT((1/AD159)+AH159))</f>
        <v>#DIV/0!</v>
      </c>
      <c r="AV161" s="16"/>
      <c r="AX161" s="102" t="e">
        <f>_xlfn.CHISQ.DIST.RT(AX159,AY159-1)</f>
        <v>#DIV/0!</v>
      </c>
      <c r="AY161" s="103" t="e">
        <f>IF(AX161&lt;0.05,"heterogeneidad","homogeneidad")</f>
        <v>#DIV/0!</v>
      </c>
      <c r="BF161" s="104"/>
      <c r="BG161" s="10"/>
      <c r="BH161" s="10"/>
      <c r="BJ161" s="43"/>
      <c r="BL161" s="10"/>
      <c r="BM161" s="105"/>
      <c r="BQ161" s="10"/>
    </row>
    <row r="162" spans="2:75" ht="14.5" hidden="1">
      <c r="B162" s="5"/>
      <c r="C162" s="93"/>
      <c r="D162" s="93"/>
      <c r="E162" s="93"/>
      <c r="F162" s="93"/>
      <c r="G162" s="93"/>
      <c r="H162" s="93"/>
      <c r="I162" s="94"/>
      <c r="J162" s="5"/>
      <c r="K162" s="5"/>
      <c r="R162" s="95"/>
      <c r="S162" s="95"/>
      <c r="T162" s="95"/>
      <c r="U162" s="95"/>
      <c r="V162" s="95"/>
      <c r="W162" s="95"/>
      <c r="X162" s="95"/>
      <c r="AF162" s="1"/>
      <c r="AI162" s="10"/>
      <c r="AJ162" s="96"/>
      <c r="AK162" s="96"/>
      <c r="AL162" s="97"/>
      <c r="AM162" s="98"/>
      <c r="AN162" s="106"/>
      <c r="AO162" s="107"/>
      <c r="AP162" s="13"/>
      <c r="AS162" s="108"/>
      <c r="AT162" s="16"/>
      <c r="AU162" s="16"/>
      <c r="AV162" s="16"/>
      <c r="BF162" s="104"/>
      <c r="BG162" s="10"/>
      <c r="BH162" s="10"/>
      <c r="BJ162" s="43"/>
      <c r="BL162" s="10"/>
      <c r="BM162" s="109"/>
      <c r="BQ162" s="10"/>
    </row>
    <row r="163" spans="2:75" ht="13" hidden="1" customHeight="1">
      <c r="C163" s="84"/>
      <c r="D163" s="84"/>
      <c r="E163" s="84"/>
      <c r="F163" s="84"/>
      <c r="G163" s="84"/>
      <c r="H163" s="84"/>
      <c r="I163" s="85"/>
      <c r="J163" s="668" t="s">
        <v>4</v>
      </c>
      <c r="K163" s="669"/>
      <c r="L163" s="669"/>
      <c r="M163" s="669"/>
      <c r="N163" s="669"/>
      <c r="O163" s="669"/>
      <c r="P163" s="669"/>
      <c r="Q163" s="669"/>
      <c r="R163" s="669"/>
      <c r="S163" s="669"/>
      <c r="T163" s="669"/>
      <c r="U163" s="669"/>
      <c r="V163" s="669"/>
      <c r="W163" s="670"/>
      <c r="X163" s="11"/>
      <c r="Y163" s="668" t="s">
        <v>5</v>
      </c>
      <c r="Z163" s="669"/>
      <c r="AA163" s="669"/>
      <c r="AB163" s="669"/>
      <c r="AC163" s="669"/>
      <c r="AD163" s="669"/>
      <c r="AE163" s="669"/>
      <c r="AF163" s="669"/>
      <c r="AG163" s="669"/>
      <c r="AH163" s="669"/>
      <c r="AI163" s="669"/>
      <c r="AJ163" s="669"/>
      <c r="AK163" s="669"/>
      <c r="AL163" s="669"/>
      <c r="AM163" s="669"/>
      <c r="AN163" s="669"/>
      <c r="AO163" s="669"/>
      <c r="AP163" s="669"/>
      <c r="AQ163" s="669"/>
      <c r="AR163" s="669"/>
      <c r="AS163" s="669"/>
      <c r="AT163" s="669"/>
      <c r="AU163" s="670"/>
      <c r="AV163" s="11"/>
      <c r="AW163" s="668" t="s">
        <v>232</v>
      </c>
      <c r="AX163" s="669"/>
      <c r="AY163" s="669"/>
      <c r="AZ163" s="669"/>
      <c r="BA163" s="669"/>
      <c r="BB163" s="669"/>
      <c r="BC163" s="669"/>
      <c r="BD163" s="669"/>
      <c r="BE163" s="669"/>
      <c r="BF163" s="669"/>
      <c r="BG163" s="669"/>
      <c r="BH163" s="669"/>
      <c r="BI163" s="669"/>
      <c r="BJ163" s="669"/>
      <c r="BK163" s="669"/>
      <c r="BL163" s="669"/>
      <c r="BM163" s="669"/>
      <c r="BN163" s="669"/>
      <c r="BO163" s="669"/>
      <c r="BP163" s="669"/>
      <c r="BQ163" s="669"/>
      <c r="BR163" s="669"/>
      <c r="BS163" s="669"/>
      <c r="BT163" s="669"/>
      <c r="BU163" s="669"/>
      <c r="BV163" s="669"/>
      <c r="BW163" s="670"/>
    </row>
    <row r="164" spans="2:75" hidden="1">
      <c r="B164" s="12" t="s">
        <v>6</v>
      </c>
      <c r="C164" s="677" t="s">
        <v>7</v>
      </c>
      <c r="D164" s="677"/>
      <c r="E164" s="677"/>
      <c r="F164" s="677" t="s">
        <v>8</v>
      </c>
      <c r="G164" s="677"/>
      <c r="H164" s="677"/>
      <c r="I164" s="13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</row>
    <row r="165" spans="2:75" ht="60" hidden="1">
      <c r="B165" s="503"/>
      <c r="C165" s="15" t="s">
        <v>9</v>
      </c>
      <c r="D165" s="15" t="s">
        <v>10</v>
      </c>
      <c r="E165" s="15" t="s">
        <v>11</v>
      </c>
      <c r="F165" s="15" t="s">
        <v>9</v>
      </c>
      <c r="G165" s="15" t="s">
        <v>10</v>
      </c>
      <c r="H165" s="15" t="s">
        <v>11</v>
      </c>
      <c r="I165" s="16"/>
      <c r="K165" s="17" t="s">
        <v>12</v>
      </c>
      <c r="L165" s="17" t="s">
        <v>13</v>
      </c>
      <c r="M165" s="17" t="s">
        <v>14</v>
      </c>
      <c r="N165" s="18" t="s">
        <v>15</v>
      </c>
      <c r="O165" s="18" t="s">
        <v>16</v>
      </c>
      <c r="P165" s="18" t="s">
        <v>17</v>
      </c>
      <c r="Q165" s="486" t="s">
        <v>18</v>
      </c>
      <c r="R165" s="486" t="s">
        <v>19</v>
      </c>
      <c r="S165" s="487" t="s">
        <v>3</v>
      </c>
      <c r="T165" s="486" t="s">
        <v>20</v>
      </c>
      <c r="U165" s="486" t="s">
        <v>21</v>
      </c>
      <c r="V165" s="486" t="s">
        <v>22</v>
      </c>
      <c r="W165" s="486" t="s">
        <v>22</v>
      </c>
      <c r="X165" s="19"/>
      <c r="Y165" s="20"/>
      <c r="Z165" s="21" t="s">
        <v>23</v>
      </c>
      <c r="AA165" s="18" t="s">
        <v>24</v>
      </c>
      <c r="AB165" s="3" t="s">
        <v>25</v>
      </c>
      <c r="AC165" s="3" t="s">
        <v>26</v>
      </c>
      <c r="AD165" s="3" t="s">
        <v>27</v>
      </c>
      <c r="AE165" s="18" t="s">
        <v>28</v>
      </c>
      <c r="AF165" s="18" t="s">
        <v>29</v>
      </c>
      <c r="AG165" s="22" t="s">
        <v>30</v>
      </c>
      <c r="AH165" s="22" t="s">
        <v>31</v>
      </c>
      <c r="AI165" s="3" t="s">
        <v>32</v>
      </c>
      <c r="AJ165" s="18" t="s">
        <v>33</v>
      </c>
      <c r="AK165" s="18" t="s">
        <v>34</v>
      </c>
      <c r="AL165" s="18" t="s">
        <v>35</v>
      </c>
      <c r="AM165" s="3" t="s">
        <v>36</v>
      </c>
      <c r="AN165" s="487" t="s">
        <v>37</v>
      </c>
      <c r="AO165" s="18" t="s">
        <v>38</v>
      </c>
      <c r="AP165" s="18" t="s">
        <v>39</v>
      </c>
      <c r="AQ165" s="3" t="s">
        <v>3</v>
      </c>
      <c r="AR165" s="18" t="s">
        <v>40</v>
      </c>
      <c r="AS165" s="18" t="s">
        <v>41</v>
      </c>
      <c r="AT165" s="486" t="s">
        <v>22</v>
      </c>
      <c r="AU165" s="486" t="s">
        <v>22</v>
      </c>
      <c r="AV165" s="19"/>
      <c r="AX165" s="23" t="s">
        <v>42</v>
      </c>
      <c r="AY165" s="23" t="s">
        <v>25</v>
      </c>
      <c r="AZ165" s="24" t="s">
        <v>64</v>
      </c>
      <c r="BA165" s="25" t="s">
        <v>65</v>
      </c>
      <c r="BC165" s="3" t="s">
        <v>66</v>
      </c>
      <c r="BD165" s="3" t="s">
        <v>67</v>
      </c>
      <c r="BE165" s="3" t="s">
        <v>43</v>
      </c>
      <c r="BF165" s="3" t="s">
        <v>44</v>
      </c>
      <c r="BG165" s="3" t="s">
        <v>45</v>
      </c>
      <c r="BH165" s="3" t="s">
        <v>46</v>
      </c>
      <c r="BI165" s="3" t="s">
        <v>47</v>
      </c>
      <c r="BJ165" s="3" t="s">
        <v>68</v>
      </c>
      <c r="BK165" s="3" t="s">
        <v>48</v>
      </c>
      <c r="BL165" s="3" t="s">
        <v>49</v>
      </c>
      <c r="BM165" s="26" t="s">
        <v>69</v>
      </c>
      <c r="BN165" s="26" t="s">
        <v>70</v>
      </c>
      <c r="BO165" s="26" t="s">
        <v>71</v>
      </c>
      <c r="BP165" s="26" t="s">
        <v>72</v>
      </c>
      <c r="BQ165" s="26" t="s">
        <v>73</v>
      </c>
      <c r="BR165" s="27"/>
      <c r="BS165" s="18" t="s">
        <v>74</v>
      </c>
      <c r="BT165" s="18" t="s">
        <v>75</v>
      </c>
      <c r="BU165" s="486" t="s">
        <v>229</v>
      </c>
      <c r="BV165" s="486" t="s">
        <v>230</v>
      </c>
      <c r="BW165" s="486" t="s">
        <v>231</v>
      </c>
    </row>
    <row r="166" spans="2:75" hidden="1">
      <c r="B166" s="28" t="s">
        <v>50</v>
      </c>
      <c r="C166" s="29"/>
      <c r="D166" s="30">
        <f>E166-C166</f>
        <v>0</v>
      </c>
      <c r="E166" s="31"/>
      <c r="F166" s="29"/>
      <c r="G166" s="30">
        <f>H166-F166</f>
        <v>0</v>
      </c>
      <c r="H166" s="31"/>
      <c r="I166" s="32"/>
      <c r="K166" s="33" t="e">
        <f>(C166/E166)/(F166/H166)</f>
        <v>#DIV/0!</v>
      </c>
      <c r="L166" s="34" t="e">
        <f>(D166/(C166*E166)+(G166/(F166*H166)))</f>
        <v>#DIV/0!</v>
      </c>
      <c r="M166" s="35" t="e">
        <f>1/L166</f>
        <v>#DIV/0!</v>
      </c>
      <c r="N166" s="36" t="e">
        <f>LN(K166)</f>
        <v>#DIV/0!</v>
      </c>
      <c r="O166" s="36" t="e">
        <f>M166*N166</f>
        <v>#DIV/0!</v>
      </c>
      <c r="P166" s="36" t="e">
        <f>LN(K166)</f>
        <v>#DIV/0!</v>
      </c>
      <c r="Q166" s="110" t="e">
        <f>K166</f>
        <v>#DIV/0!</v>
      </c>
      <c r="R166" s="38" t="e">
        <f t="shared" ref="R166:R171" si="386">SQRT(1/M166)</f>
        <v>#DIV/0!</v>
      </c>
      <c r="S166" s="39">
        <f t="shared" ref="S166:S171" si="387">$H$2</f>
        <v>1.9599639845400536</v>
      </c>
      <c r="T166" s="40" t="e">
        <f t="shared" ref="T166:T171" si="388">P166-(R166*S166)</f>
        <v>#DIV/0!</v>
      </c>
      <c r="U166" s="40" t="e">
        <f t="shared" ref="U166:U171" si="389">P166+(R166*S166)</f>
        <v>#DIV/0!</v>
      </c>
      <c r="V166" s="41" t="e">
        <f>EXP(T166)</f>
        <v>#DIV/0!</v>
      </c>
      <c r="W166" s="42" t="e">
        <f>EXP(U166)</f>
        <v>#DIV/0!</v>
      </c>
      <c r="X166" s="43"/>
      <c r="Z166" s="44" t="e">
        <f>(N166-P171)^2</f>
        <v>#DIV/0!</v>
      </c>
      <c r="AA166" s="45" t="e">
        <f>M166*Z166</f>
        <v>#DIV/0!</v>
      </c>
      <c r="AB166" s="2">
        <v>1</v>
      </c>
      <c r="AC166" s="27"/>
      <c r="AD166" s="27"/>
      <c r="AE166" s="35" t="e">
        <f>M166^2</f>
        <v>#DIV/0!</v>
      </c>
      <c r="AF166" s="46"/>
      <c r="AG166" s="47" t="e">
        <f>AG171</f>
        <v>#DIV/0!</v>
      </c>
      <c r="AH166" s="47" t="e">
        <f>AH171</f>
        <v>#DIV/0!</v>
      </c>
      <c r="AI166" s="45" t="e">
        <f>1/M166</f>
        <v>#DIV/0!</v>
      </c>
      <c r="AJ166" s="48" t="e">
        <f>1/(AH166+AI166)</f>
        <v>#DIV/0!</v>
      </c>
      <c r="AK166" s="49" t="e">
        <f>AJ166/AJ171</f>
        <v>#DIV/0!</v>
      </c>
      <c r="AL166" s="50" t="e">
        <f>AJ166*N166</f>
        <v>#DIV/0!</v>
      </c>
      <c r="AM166" s="50" t="e">
        <f t="shared" ref="AM166:AM171" si="390">AL166/AJ166</f>
        <v>#DIV/0!</v>
      </c>
      <c r="AN166" s="42" t="e">
        <f t="shared" ref="AN166:AN171" si="391">EXP(AM166)</f>
        <v>#DIV/0!</v>
      </c>
      <c r="AO166" s="51" t="e">
        <f t="shared" ref="AO166:AO171" si="392">1/AJ166</f>
        <v>#DIV/0!</v>
      </c>
      <c r="AP166" s="42" t="e">
        <f t="shared" ref="AP166:AP171" si="393">SQRT(AO166)</f>
        <v>#DIV/0!</v>
      </c>
      <c r="AQ166" s="39">
        <f t="shared" ref="AQ166:AQ171" si="394">$H$2</f>
        <v>1.9599639845400536</v>
      </c>
      <c r="AR166" s="40" t="e">
        <f t="shared" ref="AR166:AR171" si="395">AM166-(AQ166*AP166)</f>
        <v>#DIV/0!</v>
      </c>
      <c r="AS166" s="40" t="e">
        <f t="shared" ref="AS166:AS171" si="396">AM166+(1.96*AP166)</f>
        <v>#DIV/0!</v>
      </c>
      <c r="AT166" s="52" t="e">
        <f>EXP(AR166)</f>
        <v>#DIV/0!</v>
      </c>
      <c r="AU166" s="52" t="e">
        <f>EXP(AS166)</f>
        <v>#DIV/0!</v>
      </c>
      <c r="AV166" s="16"/>
      <c r="AX166" s="53"/>
      <c r="AY166" s="53">
        <v>1</v>
      </c>
      <c r="AZ166" s="54"/>
      <c r="BA166" s="54"/>
      <c r="BC166" s="27"/>
      <c r="BD166" s="27"/>
      <c r="BE166" s="2"/>
      <c r="BF166" s="2"/>
      <c r="BG166" s="2"/>
      <c r="BH166" s="2"/>
      <c r="BI166" s="2"/>
      <c r="BJ166" s="2"/>
      <c r="BK166" s="2"/>
      <c r="BL166" s="2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</row>
    <row r="167" spans="2:75" hidden="1">
      <c r="B167" s="28" t="s">
        <v>51</v>
      </c>
      <c r="C167" s="29"/>
      <c r="D167" s="30">
        <f>E167-C167</f>
        <v>0</v>
      </c>
      <c r="E167" s="31"/>
      <c r="F167" s="29"/>
      <c r="G167" s="30">
        <f>H167-F167</f>
        <v>0</v>
      </c>
      <c r="H167" s="31"/>
      <c r="I167" s="32"/>
      <c r="K167" s="33" t="e">
        <f>(C167/E167)/(F167/H167)</f>
        <v>#DIV/0!</v>
      </c>
      <c r="L167" s="34" t="e">
        <f>(D167/(C167*E167)+(G167/(F167*H167)))</f>
        <v>#DIV/0!</v>
      </c>
      <c r="M167" s="35" t="e">
        <f>1/L167</f>
        <v>#DIV/0!</v>
      </c>
      <c r="N167" s="36" t="e">
        <f>LN(K167)</f>
        <v>#DIV/0!</v>
      </c>
      <c r="O167" s="36" t="e">
        <f>M167*N167</f>
        <v>#DIV/0!</v>
      </c>
      <c r="P167" s="36" t="e">
        <f>LN(K167)</f>
        <v>#DIV/0!</v>
      </c>
      <c r="Q167" s="110" t="e">
        <f>K167</f>
        <v>#DIV/0!</v>
      </c>
      <c r="R167" s="38" t="e">
        <f t="shared" si="386"/>
        <v>#DIV/0!</v>
      </c>
      <c r="S167" s="39">
        <f t="shared" si="387"/>
        <v>1.9599639845400536</v>
      </c>
      <c r="T167" s="40" t="e">
        <f t="shared" si="388"/>
        <v>#DIV/0!</v>
      </c>
      <c r="U167" s="40" t="e">
        <f t="shared" si="389"/>
        <v>#DIV/0!</v>
      </c>
      <c r="V167" s="41" t="e">
        <f t="shared" ref="V167:W170" si="397">EXP(T167)</f>
        <v>#DIV/0!</v>
      </c>
      <c r="W167" s="42" t="e">
        <f t="shared" si="397"/>
        <v>#DIV/0!</v>
      </c>
      <c r="X167" s="43"/>
      <c r="Z167" s="44" t="e">
        <f>(N167-P171)^2</f>
        <v>#DIV/0!</v>
      </c>
      <c r="AA167" s="45" t="e">
        <f>M167*Z167</f>
        <v>#DIV/0!</v>
      </c>
      <c r="AB167" s="2">
        <v>1</v>
      </c>
      <c r="AC167" s="27"/>
      <c r="AD167" s="27"/>
      <c r="AE167" s="35" t="e">
        <f>M167^2</f>
        <v>#DIV/0!</v>
      </c>
      <c r="AF167" s="46"/>
      <c r="AG167" s="47" t="e">
        <f>AG171</f>
        <v>#DIV/0!</v>
      </c>
      <c r="AH167" s="47" t="e">
        <f>AH171</f>
        <v>#DIV/0!</v>
      </c>
      <c r="AI167" s="45" t="e">
        <f>1/M167</f>
        <v>#DIV/0!</v>
      </c>
      <c r="AJ167" s="48" t="e">
        <f>1/(AH167+AI167)</f>
        <v>#DIV/0!</v>
      </c>
      <c r="AK167" s="49" t="e">
        <f>AJ167/AJ171</f>
        <v>#DIV/0!</v>
      </c>
      <c r="AL167" s="50" t="e">
        <f>AJ167*N167</f>
        <v>#DIV/0!</v>
      </c>
      <c r="AM167" s="50" t="e">
        <f t="shared" si="390"/>
        <v>#DIV/0!</v>
      </c>
      <c r="AN167" s="42" t="e">
        <f t="shared" si="391"/>
        <v>#DIV/0!</v>
      </c>
      <c r="AO167" s="51" t="e">
        <f t="shared" si="392"/>
        <v>#DIV/0!</v>
      </c>
      <c r="AP167" s="42" t="e">
        <f t="shared" si="393"/>
        <v>#DIV/0!</v>
      </c>
      <c r="AQ167" s="39">
        <f t="shared" si="394"/>
        <v>1.9599639845400536</v>
      </c>
      <c r="AR167" s="40" t="e">
        <f t="shared" si="395"/>
        <v>#DIV/0!</v>
      </c>
      <c r="AS167" s="40" t="e">
        <f t="shared" si="396"/>
        <v>#DIV/0!</v>
      </c>
      <c r="AT167" s="52" t="e">
        <f t="shared" ref="AT167:AU170" si="398">EXP(AR167)</f>
        <v>#DIV/0!</v>
      </c>
      <c r="AU167" s="52" t="e">
        <f t="shared" si="398"/>
        <v>#DIV/0!</v>
      </c>
      <c r="AV167" s="16"/>
      <c r="AX167" s="53"/>
      <c r="AY167" s="53">
        <v>1</v>
      </c>
      <c r="AZ167" s="54"/>
      <c r="BA167" s="54"/>
      <c r="BC167" s="27"/>
      <c r="BD167" s="27"/>
      <c r="BE167" s="2"/>
      <c r="BF167" s="2"/>
      <c r="BG167" s="2"/>
      <c r="BH167" s="2"/>
      <c r="BI167" s="2"/>
      <c r="BJ167" s="2"/>
      <c r="BK167" s="2"/>
      <c r="BL167" s="2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</row>
    <row r="168" spans="2:75" hidden="1">
      <c r="B168" s="28" t="s">
        <v>52</v>
      </c>
      <c r="C168" s="29"/>
      <c r="D168" s="30">
        <f>E168-C168</f>
        <v>0</v>
      </c>
      <c r="E168" s="31"/>
      <c r="F168" s="29"/>
      <c r="G168" s="30">
        <f>H168-F168</f>
        <v>0</v>
      </c>
      <c r="H168" s="31"/>
      <c r="I168" s="32"/>
      <c r="K168" s="33" t="e">
        <f>(C168/E168)/(F168/H168)</f>
        <v>#DIV/0!</v>
      </c>
      <c r="L168" s="34" t="e">
        <f>(D168/(C168*E168)+(G168/(F168*H168)))</f>
        <v>#DIV/0!</v>
      </c>
      <c r="M168" s="35" t="e">
        <f>1/L168</f>
        <v>#DIV/0!</v>
      </c>
      <c r="N168" s="36" t="e">
        <f>LN(K168)</f>
        <v>#DIV/0!</v>
      </c>
      <c r="O168" s="36" t="e">
        <f>M168*N168</f>
        <v>#DIV/0!</v>
      </c>
      <c r="P168" s="36" t="e">
        <f>LN(K168)</f>
        <v>#DIV/0!</v>
      </c>
      <c r="Q168" s="110" t="e">
        <f>K168</f>
        <v>#DIV/0!</v>
      </c>
      <c r="R168" s="38" t="e">
        <f t="shared" si="386"/>
        <v>#DIV/0!</v>
      </c>
      <c r="S168" s="39">
        <f t="shared" si="387"/>
        <v>1.9599639845400536</v>
      </c>
      <c r="T168" s="40" t="e">
        <f t="shared" si="388"/>
        <v>#DIV/0!</v>
      </c>
      <c r="U168" s="40" t="e">
        <f t="shared" si="389"/>
        <v>#DIV/0!</v>
      </c>
      <c r="V168" s="41" t="e">
        <f t="shared" si="397"/>
        <v>#DIV/0!</v>
      </c>
      <c r="W168" s="42" t="e">
        <f t="shared" si="397"/>
        <v>#DIV/0!</v>
      </c>
      <c r="X168" s="43"/>
      <c r="Z168" s="44" t="e">
        <f>(N168-P171)^2</f>
        <v>#DIV/0!</v>
      </c>
      <c r="AA168" s="45" t="e">
        <f>M168*Z168</f>
        <v>#DIV/0!</v>
      </c>
      <c r="AB168" s="2">
        <v>1</v>
      </c>
      <c r="AC168" s="27"/>
      <c r="AD168" s="27"/>
      <c r="AE168" s="35" t="e">
        <f>M168^2</f>
        <v>#DIV/0!</v>
      </c>
      <c r="AF168" s="46"/>
      <c r="AG168" s="47" t="e">
        <f>AG171</f>
        <v>#DIV/0!</v>
      </c>
      <c r="AH168" s="47" t="e">
        <f>AH171</f>
        <v>#DIV/0!</v>
      </c>
      <c r="AI168" s="45" t="e">
        <f>1/M168</f>
        <v>#DIV/0!</v>
      </c>
      <c r="AJ168" s="48" t="e">
        <f>1/(AH168+AI168)</f>
        <v>#DIV/0!</v>
      </c>
      <c r="AK168" s="49" t="e">
        <f>AJ168/AJ171</f>
        <v>#DIV/0!</v>
      </c>
      <c r="AL168" s="50" t="e">
        <f>AJ168*N168</f>
        <v>#DIV/0!</v>
      </c>
      <c r="AM168" s="50" t="e">
        <f t="shared" si="390"/>
        <v>#DIV/0!</v>
      </c>
      <c r="AN168" s="42" t="e">
        <f t="shared" si="391"/>
        <v>#DIV/0!</v>
      </c>
      <c r="AO168" s="51" t="e">
        <f t="shared" si="392"/>
        <v>#DIV/0!</v>
      </c>
      <c r="AP168" s="42" t="e">
        <f t="shared" si="393"/>
        <v>#DIV/0!</v>
      </c>
      <c r="AQ168" s="39">
        <f t="shared" si="394"/>
        <v>1.9599639845400536</v>
      </c>
      <c r="AR168" s="40" t="e">
        <f t="shared" si="395"/>
        <v>#DIV/0!</v>
      </c>
      <c r="AS168" s="40" t="e">
        <f t="shared" si="396"/>
        <v>#DIV/0!</v>
      </c>
      <c r="AT168" s="52" t="e">
        <f t="shared" si="398"/>
        <v>#DIV/0!</v>
      </c>
      <c r="AU168" s="52" t="e">
        <f t="shared" si="398"/>
        <v>#DIV/0!</v>
      </c>
      <c r="AV168" s="16"/>
      <c r="AX168" s="53"/>
      <c r="AY168" s="53">
        <v>1</v>
      </c>
      <c r="AZ168" s="54"/>
      <c r="BA168" s="54"/>
      <c r="BC168" s="27"/>
      <c r="BD168" s="27"/>
      <c r="BE168" s="2"/>
      <c r="BF168" s="2"/>
      <c r="BG168" s="2"/>
      <c r="BH168" s="2"/>
      <c r="BI168" s="2"/>
      <c r="BJ168" s="2"/>
      <c r="BK168" s="2"/>
      <c r="BL168" s="2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</row>
    <row r="169" spans="2:75" hidden="1">
      <c r="B169" s="28" t="s">
        <v>53</v>
      </c>
      <c r="C169" s="29"/>
      <c r="D169" s="30">
        <f>E169-C169</f>
        <v>0</v>
      </c>
      <c r="E169" s="31"/>
      <c r="F169" s="29"/>
      <c r="G169" s="30">
        <f>H169-F169</f>
        <v>0</v>
      </c>
      <c r="H169" s="31"/>
      <c r="I169" s="32"/>
      <c r="K169" s="33" t="e">
        <f>(C169/E169)/(F169/H169)</f>
        <v>#DIV/0!</v>
      </c>
      <c r="L169" s="34" t="e">
        <f>(D169/(C169*E169)+(G169/(F169*H169)))</f>
        <v>#DIV/0!</v>
      </c>
      <c r="M169" s="35" t="e">
        <f>1/L169</f>
        <v>#DIV/0!</v>
      </c>
      <c r="N169" s="36" t="e">
        <f>LN(K169)</f>
        <v>#DIV/0!</v>
      </c>
      <c r="O169" s="36" t="e">
        <f>M169*N169</f>
        <v>#DIV/0!</v>
      </c>
      <c r="P169" s="36" t="e">
        <f>LN(K169)</f>
        <v>#DIV/0!</v>
      </c>
      <c r="Q169" s="110" t="e">
        <f>K169</f>
        <v>#DIV/0!</v>
      </c>
      <c r="R169" s="38" t="e">
        <f t="shared" si="386"/>
        <v>#DIV/0!</v>
      </c>
      <c r="S169" s="39">
        <f t="shared" si="387"/>
        <v>1.9599639845400536</v>
      </c>
      <c r="T169" s="40" t="e">
        <f t="shared" si="388"/>
        <v>#DIV/0!</v>
      </c>
      <c r="U169" s="40" t="e">
        <f t="shared" si="389"/>
        <v>#DIV/0!</v>
      </c>
      <c r="V169" s="41" t="e">
        <f t="shared" si="397"/>
        <v>#DIV/0!</v>
      </c>
      <c r="W169" s="42" t="e">
        <f t="shared" si="397"/>
        <v>#DIV/0!</v>
      </c>
      <c r="X169" s="43"/>
      <c r="Z169" s="44" t="e">
        <f>(N169-P171)^2</f>
        <v>#DIV/0!</v>
      </c>
      <c r="AA169" s="45" t="e">
        <f>M169*Z169</f>
        <v>#DIV/0!</v>
      </c>
      <c r="AB169" s="2">
        <v>1</v>
      </c>
      <c r="AC169" s="27"/>
      <c r="AD169" s="27"/>
      <c r="AE169" s="35" t="e">
        <f>M169^2</f>
        <v>#DIV/0!</v>
      </c>
      <c r="AF169" s="46"/>
      <c r="AG169" s="47" t="e">
        <f>AG171</f>
        <v>#DIV/0!</v>
      </c>
      <c r="AH169" s="47" t="e">
        <f>AH171</f>
        <v>#DIV/0!</v>
      </c>
      <c r="AI169" s="45" t="e">
        <f>1/M169</f>
        <v>#DIV/0!</v>
      </c>
      <c r="AJ169" s="48" t="e">
        <f>1/(AH169+AI169)</f>
        <v>#DIV/0!</v>
      </c>
      <c r="AK169" s="49" t="e">
        <f>AJ169/AJ171</f>
        <v>#DIV/0!</v>
      </c>
      <c r="AL169" s="50" t="e">
        <f>AJ169*N169</f>
        <v>#DIV/0!</v>
      </c>
      <c r="AM169" s="50" t="e">
        <f t="shared" si="390"/>
        <v>#DIV/0!</v>
      </c>
      <c r="AN169" s="42" t="e">
        <f t="shared" si="391"/>
        <v>#DIV/0!</v>
      </c>
      <c r="AO169" s="51" t="e">
        <f t="shared" si="392"/>
        <v>#DIV/0!</v>
      </c>
      <c r="AP169" s="42" t="e">
        <f t="shared" si="393"/>
        <v>#DIV/0!</v>
      </c>
      <c r="AQ169" s="39">
        <f t="shared" si="394"/>
        <v>1.9599639845400536</v>
      </c>
      <c r="AR169" s="40" t="e">
        <f t="shared" si="395"/>
        <v>#DIV/0!</v>
      </c>
      <c r="AS169" s="40" t="e">
        <f t="shared" si="396"/>
        <v>#DIV/0!</v>
      </c>
      <c r="AT169" s="52" t="e">
        <f t="shared" si="398"/>
        <v>#DIV/0!</v>
      </c>
      <c r="AU169" s="52" t="e">
        <f t="shared" si="398"/>
        <v>#DIV/0!</v>
      </c>
      <c r="AV169" s="16"/>
      <c r="AX169" s="53"/>
      <c r="AY169" s="53">
        <v>1</v>
      </c>
      <c r="AZ169" s="54"/>
      <c r="BA169" s="54"/>
      <c r="BC169" s="27"/>
      <c r="BD169" s="27"/>
      <c r="BE169" s="2"/>
      <c r="BF169" s="2"/>
      <c r="BG169" s="2"/>
      <c r="BH169" s="2"/>
      <c r="BI169" s="2"/>
      <c r="BJ169" s="2"/>
      <c r="BK169" s="2"/>
      <c r="BL169" s="2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</row>
    <row r="170" spans="2:75" hidden="1">
      <c r="B170" s="28" t="s">
        <v>54</v>
      </c>
      <c r="C170" s="29"/>
      <c r="D170" s="30">
        <f>E170-C170</f>
        <v>0</v>
      </c>
      <c r="E170" s="31"/>
      <c r="F170" s="29"/>
      <c r="G170" s="30">
        <f>H170-F170</f>
        <v>0</v>
      </c>
      <c r="H170" s="31"/>
      <c r="I170" s="32"/>
      <c r="K170" s="33" t="e">
        <f>(C170/E170)/(F170/H170)</f>
        <v>#DIV/0!</v>
      </c>
      <c r="L170" s="34" t="e">
        <f>(D170/(C170*E170)+(G170/(F170*H170)))</f>
        <v>#DIV/0!</v>
      </c>
      <c r="M170" s="35" t="e">
        <f>1/L170</f>
        <v>#DIV/0!</v>
      </c>
      <c r="N170" s="36" t="e">
        <f>LN(K170)</f>
        <v>#DIV/0!</v>
      </c>
      <c r="O170" s="36" t="e">
        <f>M170*N170</f>
        <v>#DIV/0!</v>
      </c>
      <c r="P170" s="36" t="e">
        <f>LN(K170)</f>
        <v>#DIV/0!</v>
      </c>
      <c r="Q170" s="110" t="e">
        <f>K170</f>
        <v>#DIV/0!</v>
      </c>
      <c r="R170" s="38" t="e">
        <f t="shared" si="386"/>
        <v>#DIV/0!</v>
      </c>
      <c r="S170" s="39">
        <f t="shared" si="387"/>
        <v>1.9599639845400536</v>
      </c>
      <c r="T170" s="40" t="e">
        <f t="shared" si="388"/>
        <v>#DIV/0!</v>
      </c>
      <c r="U170" s="40" t="e">
        <f t="shared" si="389"/>
        <v>#DIV/0!</v>
      </c>
      <c r="V170" s="41" t="e">
        <f t="shared" si="397"/>
        <v>#DIV/0!</v>
      </c>
      <c r="W170" s="42" t="e">
        <f t="shared" si="397"/>
        <v>#DIV/0!</v>
      </c>
      <c r="X170" s="43"/>
      <c r="Z170" s="44" t="e">
        <f>(N170-P171)^2</f>
        <v>#DIV/0!</v>
      </c>
      <c r="AA170" s="45" t="e">
        <f>M170*Z170</f>
        <v>#DIV/0!</v>
      </c>
      <c r="AB170" s="2">
        <v>1</v>
      </c>
      <c r="AC170" s="27"/>
      <c r="AD170" s="27"/>
      <c r="AE170" s="35" t="e">
        <f>M170^2</f>
        <v>#DIV/0!</v>
      </c>
      <c r="AF170" s="46"/>
      <c r="AG170" s="47" t="e">
        <f>AG171</f>
        <v>#DIV/0!</v>
      </c>
      <c r="AH170" s="47" t="e">
        <f>AH171</f>
        <v>#DIV/0!</v>
      </c>
      <c r="AI170" s="45" t="e">
        <f>1/M170</f>
        <v>#DIV/0!</v>
      </c>
      <c r="AJ170" s="48" t="e">
        <f>1/(AH170+AI170)</f>
        <v>#DIV/0!</v>
      </c>
      <c r="AK170" s="49" t="e">
        <f>AJ170/AJ171</f>
        <v>#DIV/0!</v>
      </c>
      <c r="AL170" s="50" t="e">
        <f>AJ170*N170</f>
        <v>#DIV/0!</v>
      </c>
      <c r="AM170" s="50" t="e">
        <f t="shared" si="390"/>
        <v>#DIV/0!</v>
      </c>
      <c r="AN170" s="42" t="e">
        <f t="shared" si="391"/>
        <v>#DIV/0!</v>
      </c>
      <c r="AO170" s="51" t="e">
        <f t="shared" si="392"/>
        <v>#DIV/0!</v>
      </c>
      <c r="AP170" s="42" t="e">
        <f t="shared" si="393"/>
        <v>#DIV/0!</v>
      </c>
      <c r="AQ170" s="39">
        <f t="shared" si="394"/>
        <v>1.9599639845400536</v>
      </c>
      <c r="AR170" s="40" t="e">
        <f t="shared" si="395"/>
        <v>#DIV/0!</v>
      </c>
      <c r="AS170" s="40" t="e">
        <f t="shared" si="396"/>
        <v>#DIV/0!</v>
      </c>
      <c r="AT170" s="52" t="e">
        <f t="shared" si="398"/>
        <v>#DIV/0!</v>
      </c>
      <c r="AU170" s="52" t="e">
        <f t="shared" si="398"/>
        <v>#DIV/0!</v>
      </c>
      <c r="AV170" s="16"/>
      <c r="AX170" s="53"/>
      <c r="AY170" s="53">
        <v>1</v>
      </c>
      <c r="AZ170" s="54"/>
      <c r="BA170" s="54"/>
      <c r="BC170" s="27"/>
      <c r="BD170" s="27"/>
      <c r="BE170" s="2"/>
      <c r="BF170" s="2"/>
      <c r="BG170" s="2"/>
      <c r="BH170" s="2"/>
      <c r="BI170" s="2"/>
      <c r="BJ170" s="2"/>
      <c r="BK170" s="2"/>
      <c r="BL170" s="2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</row>
    <row r="171" spans="2:75" hidden="1">
      <c r="B171" s="55">
        <f>COUNT(D166:D170)</f>
        <v>5</v>
      </c>
      <c r="C171" s="56">
        <f t="shared" ref="C171:H171" si="399">SUM(C166:C170)</f>
        <v>0</v>
      </c>
      <c r="D171" s="56">
        <f t="shared" si="399"/>
        <v>0</v>
      </c>
      <c r="E171" s="56">
        <f t="shared" si="399"/>
        <v>0</v>
      </c>
      <c r="F171" s="56">
        <f t="shared" si="399"/>
        <v>0</v>
      </c>
      <c r="G171" s="56">
        <f t="shared" si="399"/>
        <v>0</v>
      </c>
      <c r="H171" s="56">
        <f t="shared" si="399"/>
        <v>0</v>
      </c>
      <c r="I171" s="57"/>
      <c r="K171" s="58"/>
      <c r="L171" s="112"/>
      <c r="M171" s="60" t="e">
        <f>SUM(M166:M170)</f>
        <v>#DIV/0!</v>
      </c>
      <c r="N171" s="61"/>
      <c r="O171" s="62" t="e">
        <f>SUM(O166:O170)</f>
        <v>#DIV/0!</v>
      </c>
      <c r="P171" s="63" t="e">
        <f>O171/M171</f>
        <v>#DIV/0!</v>
      </c>
      <c r="Q171" s="488" t="e">
        <f>EXP(P171)</f>
        <v>#DIV/0!</v>
      </c>
      <c r="R171" s="488" t="e">
        <f t="shared" si="386"/>
        <v>#DIV/0!</v>
      </c>
      <c r="S171" s="489">
        <f t="shared" si="387"/>
        <v>1.9599639845400536</v>
      </c>
      <c r="T171" s="490" t="e">
        <f t="shared" si="388"/>
        <v>#DIV/0!</v>
      </c>
      <c r="U171" s="490" t="e">
        <f t="shared" si="389"/>
        <v>#DIV/0!</v>
      </c>
      <c r="V171" s="491" t="e">
        <f>EXP(T171)</f>
        <v>#DIV/0!</v>
      </c>
      <c r="W171" s="492" t="e">
        <f>EXP(U171)</f>
        <v>#DIV/0!</v>
      </c>
      <c r="X171" s="65"/>
      <c r="Y171" s="65"/>
      <c r="Z171" s="66"/>
      <c r="AA171" s="67" t="e">
        <f>SUM(AA166:AA170)</f>
        <v>#DIV/0!</v>
      </c>
      <c r="AB171" s="68">
        <f>SUM(AB166:AB170)</f>
        <v>5</v>
      </c>
      <c r="AC171" s="69" t="e">
        <f>AA171-(AB171-1)</f>
        <v>#DIV/0!</v>
      </c>
      <c r="AD171" s="60" t="e">
        <f>M171</f>
        <v>#DIV/0!</v>
      </c>
      <c r="AE171" s="60" t="e">
        <f>SUM(AE166:AE170)</f>
        <v>#DIV/0!</v>
      </c>
      <c r="AF171" s="70" t="e">
        <f>AE171/AD171</f>
        <v>#DIV/0!</v>
      </c>
      <c r="AG171" s="71" t="e">
        <f>AC171/(AD171-AF171)</f>
        <v>#DIV/0!</v>
      </c>
      <c r="AH171" s="71" t="e">
        <f>IF(AA171&lt;AB171-1,"0",AG171)</f>
        <v>#DIV/0!</v>
      </c>
      <c r="AI171" s="66"/>
      <c r="AJ171" s="60" t="e">
        <f>SUM(AJ166:AJ170)</f>
        <v>#DIV/0!</v>
      </c>
      <c r="AK171" s="72" t="e">
        <f>SUM(AK166:AK170)</f>
        <v>#DIV/0!</v>
      </c>
      <c r="AL171" s="69" t="e">
        <f>SUM(AL166:AL170)</f>
        <v>#DIV/0!</v>
      </c>
      <c r="AM171" s="69" t="e">
        <f t="shared" si="390"/>
        <v>#DIV/0!</v>
      </c>
      <c r="AN171" s="493" t="e">
        <f t="shared" si="391"/>
        <v>#DIV/0!</v>
      </c>
      <c r="AO171" s="73" t="e">
        <f t="shared" si="392"/>
        <v>#DIV/0!</v>
      </c>
      <c r="AP171" s="74" t="e">
        <f t="shared" si="393"/>
        <v>#DIV/0!</v>
      </c>
      <c r="AQ171" s="39">
        <f t="shared" si="394"/>
        <v>1.9599639845400536</v>
      </c>
      <c r="AR171" s="64" t="e">
        <f t="shared" si="395"/>
        <v>#DIV/0!</v>
      </c>
      <c r="AS171" s="64" t="e">
        <f t="shared" si="396"/>
        <v>#DIV/0!</v>
      </c>
      <c r="AT171" s="494" t="e">
        <f>EXP(AR171)</f>
        <v>#DIV/0!</v>
      </c>
      <c r="AU171" s="494" t="e">
        <f>EXP(AS171)</f>
        <v>#DIV/0!</v>
      </c>
      <c r="AV171" s="75"/>
      <c r="AW171" s="76"/>
      <c r="AX171" s="77" t="e">
        <f>AA171</f>
        <v>#DIV/0!</v>
      </c>
      <c r="AY171" s="55">
        <f>SUM(AY166:AY170)</f>
        <v>5</v>
      </c>
      <c r="AZ171" s="78" t="e">
        <f>(AX171-(AY171-1))/AX171</f>
        <v>#DIV/0!</v>
      </c>
      <c r="BA171" s="79" t="e">
        <f>IF(AA171&lt;AB171-1,"0%",AZ171)</f>
        <v>#DIV/0!</v>
      </c>
      <c r="BB171" s="76"/>
      <c r="BC171" s="62" t="e">
        <f>AX171/(AY171-1)</f>
        <v>#DIV/0!</v>
      </c>
      <c r="BD171" s="80" t="e">
        <f>LN(BC171)</f>
        <v>#DIV/0!</v>
      </c>
      <c r="BE171" s="62" t="e">
        <f>LN(AX171)</f>
        <v>#DIV/0!</v>
      </c>
      <c r="BF171" s="62">
        <f>LN(AY171-1)</f>
        <v>1.3862943611198906</v>
      </c>
      <c r="BG171" s="62" t="e">
        <f>SQRT(2*AX171)</f>
        <v>#DIV/0!</v>
      </c>
      <c r="BH171" s="62">
        <f>SQRT(2*AY171-3)</f>
        <v>2.6457513110645907</v>
      </c>
      <c r="BI171" s="62">
        <f>2*(AY171-2)</f>
        <v>6</v>
      </c>
      <c r="BJ171" s="62">
        <f>3*(AY171-2)^2</f>
        <v>27</v>
      </c>
      <c r="BK171" s="62">
        <f>1/BI171</f>
        <v>0.16666666666666666</v>
      </c>
      <c r="BL171" s="81">
        <f>1/BJ171</f>
        <v>3.7037037037037035E-2</v>
      </c>
      <c r="BM171" s="81">
        <f>SQRT(BK171*(1-BL171))</f>
        <v>0.40061680838488767</v>
      </c>
      <c r="BN171" s="82" t="e">
        <f>0.5*(BE171-BF171)/(BG171-BH171)</f>
        <v>#DIV/0!</v>
      </c>
      <c r="BO171" s="82" t="e">
        <f>IF(AA171&lt;=AB171,BM171,BN171)</f>
        <v>#DIV/0!</v>
      </c>
      <c r="BP171" s="69" t="e">
        <f>BD171-(1.96*BO171)</f>
        <v>#DIV/0!</v>
      </c>
      <c r="BQ171" s="69" t="e">
        <f>BD171+(1.96*BO171)</f>
        <v>#DIV/0!</v>
      </c>
      <c r="BR171" s="69"/>
      <c r="BS171" s="80" t="e">
        <f>EXP(BP171)</f>
        <v>#DIV/0!</v>
      </c>
      <c r="BT171" s="80" t="e">
        <f>EXP(BQ171)</f>
        <v>#DIV/0!</v>
      </c>
      <c r="BU171" s="83" t="e">
        <f>BA171</f>
        <v>#DIV/0!</v>
      </c>
      <c r="BV171" s="83" t="e">
        <f>(BS171-1)/BS171</f>
        <v>#DIV/0!</v>
      </c>
      <c r="BW171" s="83" t="e">
        <f>(BT171-1)/BT171</f>
        <v>#DIV/0!</v>
      </c>
    </row>
    <row r="172" spans="2:75" ht="13.5" hidden="1" thickBot="1">
      <c r="C172" s="84"/>
      <c r="D172" s="84"/>
      <c r="E172" s="84"/>
      <c r="F172" s="84"/>
      <c r="G172" s="84"/>
      <c r="H172" s="84"/>
      <c r="I172" s="85"/>
      <c r="R172" s="86"/>
      <c r="S172" s="86"/>
      <c r="T172" s="86"/>
      <c r="U172" s="86"/>
      <c r="V172" s="86"/>
      <c r="W172" s="86"/>
      <c r="X172" s="86"/>
      <c r="AB172" s="87"/>
      <c r="AC172" s="88"/>
      <c r="AD172" s="89"/>
      <c r="AE172" s="88"/>
      <c r="AF172" s="90"/>
      <c r="AG172" s="90"/>
      <c r="AH172" s="90"/>
      <c r="AI172" s="90"/>
      <c r="AT172" s="91"/>
      <c r="AU172" s="91"/>
      <c r="AV172" s="91"/>
      <c r="AX172" s="5" t="s">
        <v>59</v>
      </c>
      <c r="BG172" s="10"/>
      <c r="BN172" s="88" t="s">
        <v>60</v>
      </c>
      <c r="BT172" s="92" t="s">
        <v>61</v>
      </c>
      <c r="BU172" s="495" t="e">
        <f>BU171</f>
        <v>#DIV/0!</v>
      </c>
      <c r="BV172" s="495" t="e">
        <f>IF(BV171&lt;0,"0%",BV171)</f>
        <v>#DIV/0!</v>
      </c>
      <c r="BW172" s="496" t="e">
        <f>IF(BW171&lt;0,"0%",BW171)</f>
        <v>#DIV/0!</v>
      </c>
    </row>
    <row r="173" spans="2:75" ht="26.5" hidden="1" thickBot="1">
      <c r="B173" s="5"/>
      <c r="C173" s="93"/>
      <c r="D173" s="93"/>
      <c r="E173" s="93"/>
      <c r="F173" s="93"/>
      <c r="G173" s="93"/>
      <c r="H173" s="93"/>
      <c r="I173" s="94"/>
      <c r="J173" s="5"/>
      <c r="K173" s="5"/>
      <c r="R173" s="95"/>
      <c r="S173" s="95"/>
      <c r="T173" s="95"/>
      <c r="U173" s="95"/>
      <c r="V173" s="95"/>
      <c r="W173" s="95"/>
      <c r="X173" s="95"/>
      <c r="AF173" s="1"/>
      <c r="AI173" s="10"/>
      <c r="AJ173" s="96"/>
      <c r="AK173" s="96"/>
      <c r="AL173" s="97"/>
      <c r="AM173" s="98"/>
      <c r="AO173" s="99" t="s">
        <v>62</v>
      </c>
      <c r="AP173" s="100">
        <f>TINV((1-$H$1),(AB171-2))</f>
        <v>3.1824463052837078</v>
      </c>
      <c r="AR173" s="497" t="s">
        <v>63</v>
      </c>
      <c r="AS173" s="101">
        <f>$H$1</f>
        <v>0.95</v>
      </c>
      <c r="AT173" s="498" t="e">
        <f>EXP(AM171-AP173*SQRT((1/AD171)+AH171))</f>
        <v>#DIV/0!</v>
      </c>
      <c r="AU173" s="498" t="e">
        <f>EXP(AM171+AP173*SQRT((1/AD171)+AH171))</f>
        <v>#DIV/0!</v>
      </c>
      <c r="AV173" s="16"/>
      <c r="AX173" s="102" t="e">
        <f>_xlfn.CHISQ.DIST.RT(AX171,AY171-1)</f>
        <v>#DIV/0!</v>
      </c>
      <c r="AY173" s="103" t="e">
        <f>IF(AX173&lt;0.05,"heterogeneidad","homogeneidad")</f>
        <v>#DIV/0!</v>
      </c>
      <c r="BF173" s="104"/>
      <c r="BG173" s="10"/>
      <c r="BH173" s="10"/>
      <c r="BJ173" s="43"/>
      <c r="BL173" s="10"/>
      <c r="BM173" s="105"/>
      <c r="BQ173" s="10"/>
    </row>
    <row r="174" spans="2:75" ht="14.5" hidden="1">
      <c r="B174" s="5"/>
      <c r="C174" s="93"/>
      <c r="D174" s="93"/>
      <c r="E174" s="93"/>
      <c r="F174" s="93"/>
      <c r="G174" s="93"/>
      <c r="H174" s="93"/>
      <c r="I174" s="94"/>
      <c r="J174" s="5"/>
      <c r="K174" s="5"/>
      <c r="R174" s="95"/>
      <c r="S174" s="95"/>
      <c r="T174" s="95"/>
      <c r="U174" s="95"/>
      <c r="V174" s="95"/>
      <c r="W174" s="95"/>
      <c r="X174" s="95"/>
      <c r="AF174" s="1"/>
      <c r="AI174" s="10"/>
      <c r="AJ174" s="96"/>
      <c r="AK174" s="96"/>
      <c r="AL174" s="97"/>
      <c r="AM174" s="98"/>
      <c r="AN174" s="106"/>
      <c r="AO174" s="107"/>
      <c r="AP174" s="13"/>
      <c r="AS174" s="108"/>
      <c r="AT174" s="16"/>
      <c r="AU174" s="16"/>
      <c r="AV174" s="16"/>
      <c r="BF174" s="104"/>
      <c r="BG174" s="10"/>
      <c r="BH174" s="10"/>
      <c r="BJ174" s="43"/>
      <c r="BL174" s="10"/>
      <c r="BM174" s="109"/>
      <c r="BQ174" s="10"/>
    </row>
    <row r="175" spans="2:75" ht="13" hidden="1" customHeight="1">
      <c r="C175" s="84"/>
      <c r="D175" s="84"/>
      <c r="E175" s="84"/>
      <c r="F175" s="84"/>
      <c r="G175" s="84"/>
      <c r="H175" s="84"/>
      <c r="I175" s="85"/>
      <c r="J175" s="668" t="s">
        <v>4</v>
      </c>
      <c r="K175" s="669"/>
      <c r="L175" s="669"/>
      <c r="M175" s="669"/>
      <c r="N175" s="669"/>
      <c r="O175" s="669"/>
      <c r="P175" s="669"/>
      <c r="Q175" s="669"/>
      <c r="R175" s="669"/>
      <c r="S175" s="669"/>
      <c r="T175" s="669"/>
      <c r="U175" s="669"/>
      <c r="V175" s="669"/>
      <c r="W175" s="670"/>
      <c r="X175" s="11"/>
      <c r="Y175" s="668" t="s">
        <v>5</v>
      </c>
      <c r="Z175" s="669"/>
      <c r="AA175" s="669"/>
      <c r="AB175" s="669"/>
      <c r="AC175" s="669"/>
      <c r="AD175" s="669"/>
      <c r="AE175" s="669"/>
      <c r="AF175" s="669"/>
      <c r="AG175" s="669"/>
      <c r="AH175" s="669"/>
      <c r="AI175" s="669"/>
      <c r="AJ175" s="669"/>
      <c r="AK175" s="669"/>
      <c r="AL175" s="669"/>
      <c r="AM175" s="669"/>
      <c r="AN175" s="669"/>
      <c r="AO175" s="669"/>
      <c r="AP175" s="669"/>
      <c r="AQ175" s="669"/>
      <c r="AR175" s="669"/>
      <c r="AS175" s="669"/>
      <c r="AT175" s="669"/>
      <c r="AU175" s="670"/>
      <c r="AV175" s="11"/>
      <c r="AW175" s="668" t="s">
        <v>232</v>
      </c>
      <c r="AX175" s="669"/>
      <c r="AY175" s="669"/>
      <c r="AZ175" s="669"/>
      <c r="BA175" s="669"/>
      <c r="BB175" s="669"/>
      <c r="BC175" s="669"/>
      <c r="BD175" s="669"/>
      <c r="BE175" s="669"/>
      <c r="BF175" s="669"/>
      <c r="BG175" s="669"/>
      <c r="BH175" s="669"/>
      <c r="BI175" s="669"/>
      <c r="BJ175" s="669"/>
      <c r="BK175" s="669"/>
      <c r="BL175" s="669"/>
      <c r="BM175" s="669"/>
      <c r="BN175" s="669"/>
      <c r="BO175" s="669"/>
      <c r="BP175" s="669"/>
      <c r="BQ175" s="669"/>
      <c r="BR175" s="669"/>
      <c r="BS175" s="669"/>
      <c r="BT175" s="669"/>
      <c r="BU175" s="669"/>
      <c r="BV175" s="669"/>
      <c r="BW175" s="670"/>
    </row>
    <row r="176" spans="2:75" hidden="1">
      <c r="B176" s="12" t="s">
        <v>6</v>
      </c>
      <c r="C176" s="677" t="s">
        <v>7</v>
      </c>
      <c r="D176" s="677"/>
      <c r="E176" s="677"/>
      <c r="F176" s="677" t="s">
        <v>8</v>
      </c>
      <c r="G176" s="677"/>
      <c r="H176" s="677"/>
      <c r="I176" s="13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</row>
    <row r="177" spans="2:256" ht="60" hidden="1">
      <c r="B177" s="503"/>
      <c r="C177" s="15" t="s">
        <v>9</v>
      </c>
      <c r="D177" s="15" t="s">
        <v>10</v>
      </c>
      <c r="E177" s="15" t="s">
        <v>11</v>
      </c>
      <c r="F177" s="15" t="s">
        <v>9</v>
      </c>
      <c r="G177" s="15" t="s">
        <v>10</v>
      </c>
      <c r="H177" s="15" t="s">
        <v>11</v>
      </c>
      <c r="I177" s="16"/>
      <c r="K177" s="17" t="s">
        <v>12</v>
      </c>
      <c r="L177" s="17" t="s">
        <v>13</v>
      </c>
      <c r="M177" s="17" t="s">
        <v>14</v>
      </c>
      <c r="N177" s="18" t="s">
        <v>15</v>
      </c>
      <c r="O177" s="18" t="s">
        <v>16</v>
      </c>
      <c r="P177" s="18" t="s">
        <v>17</v>
      </c>
      <c r="Q177" s="486" t="s">
        <v>18</v>
      </c>
      <c r="R177" s="486" t="s">
        <v>19</v>
      </c>
      <c r="S177" s="487" t="s">
        <v>3</v>
      </c>
      <c r="T177" s="486" t="s">
        <v>20</v>
      </c>
      <c r="U177" s="486" t="s">
        <v>21</v>
      </c>
      <c r="V177" s="486" t="s">
        <v>22</v>
      </c>
      <c r="W177" s="486" t="s">
        <v>22</v>
      </c>
      <c r="X177" s="19"/>
      <c r="Y177" s="20"/>
      <c r="Z177" s="21" t="s">
        <v>23</v>
      </c>
      <c r="AA177" s="18" t="s">
        <v>24</v>
      </c>
      <c r="AB177" s="3" t="s">
        <v>25</v>
      </c>
      <c r="AC177" s="3" t="s">
        <v>26</v>
      </c>
      <c r="AD177" s="3" t="s">
        <v>27</v>
      </c>
      <c r="AE177" s="18" t="s">
        <v>28</v>
      </c>
      <c r="AF177" s="18" t="s">
        <v>29</v>
      </c>
      <c r="AG177" s="22" t="s">
        <v>30</v>
      </c>
      <c r="AH177" s="22" t="s">
        <v>31</v>
      </c>
      <c r="AI177" s="3" t="s">
        <v>32</v>
      </c>
      <c r="AJ177" s="18" t="s">
        <v>33</v>
      </c>
      <c r="AK177" s="18" t="s">
        <v>34</v>
      </c>
      <c r="AL177" s="18" t="s">
        <v>35</v>
      </c>
      <c r="AM177" s="3" t="s">
        <v>36</v>
      </c>
      <c r="AN177" s="487" t="s">
        <v>37</v>
      </c>
      <c r="AO177" s="18" t="s">
        <v>38</v>
      </c>
      <c r="AP177" s="18" t="s">
        <v>39</v>
      </c>
      <c r="AQ177" s="3" t="s">
        <v>3</v>
      </c>
      <c r="AR177" s="18" t="s">
        <v>40</v>
      </c>
      <c r="AS177" s="18" t="s">
        <v>41</v>
      </c>
      <c r="AT177" s="486" t="s">
        <v>22</v>
      </c>
      <c r="AU177" s="486" t="s">
        <v>22</v>
      </c>
      <c r="AV177" s="19"/>
      <c r="AX177" s="23" t="s">
        <v>42</v>
      </c>
      <c r="AY177" s="23" t="s">
        <v>25</v>
      </c>
      <c r="AZ177" s="24" t="s">
        <v>64</v>
      </c>
      <c r="BA177" s="25" t="s">
        <v>65</v>
      </c>
      <c r="BC177" s="3" t="s">
        <v>66</v>
      </c>
      <c r="BD177" s="3" t="s">
        <v>67</v>
      </c>
      <c r="BE177" s="3" t="s">
        <v>43</v>
      </c>
      <c r="BF177" s="3" t="s">
        <v>44</v>
      </c>
      <c r="BG177" s="3" t="s">
        <v>45</v>
      </c>
      <c r="BH177" s="3" t="s">
        <v>46</v>
      </c>
      <c r="BI177" s="3" t="s">
        <v>47</v>
      </c>
      <c r="BJ177" s="3" t="s">
        <v>68</v>
      </c>
      <c r="BK177" s="3" t="s">
        <v>48</v>
      </c>
      <c r="BL177" s="3" t="s">
        <v>49</v>
      </c>
      <c r="BM177" s="26" t="s">
        <v>69</v>
      </c>
      <c r="BN177" s="26" t="s">
        <v>70</v>
      </c>
      <c r="BO177" s="26" t="s">
        <v>71</v>
      </c>
      <c r="BP177" s="26" t="s">
        <v>72</v>
      </c>
      <c r="BQ177" s="26" t="s">
        <v>73</v>
      </c>
      <c r="BR177" s="27"/>
      <c r="BS177" s="18" t="s">
        <v>74</v>
      </c>
      <c r="BT177" s="18" t="s">
        <v>75</v>
      </c>
      <c r="BU177" s="486" t="s">
        <v>229</v>
      </c>
      <c r="BV177" s="486" t="s">
        <v>230</v>
      </c>
      <c r="BW177" s="486" t="s">
        <v>231</v>
      </c>
    </row>
    <row r="178" spans="2:256" hidden="1">
      <c r="B178" s="28" t="s">
        <v>50</v>
      </c>
      <c r="C178" s="29"/>
      <c r="D178" s="30">
        <f>E178-C178</f>
        <v>0</v>
      </c>
      <c r="E178" s="31"/>
      <c r="F178" s="29"/>
      <c r="G178" s="30">
        <f>H178-F178</f>
        <v>0</v>
      </c>
      <c r="H178" s="31"/>
      <c r="I178" s="32"/>
      <c r="K178" s="33" t="e">
        <f>(C178/E178)/(F178/H178)</f>
        <v>#DIV/0!</v>
      </c>
      <c r="L178" s="34" t="e">
        <f>(D178/(C178*E178)+(G178/(F178*H178)))</f>
        <v>#DIV/0!</v>
      </c>
      <c r="M178" s="35" t="e">
        <f>1/L178</f>
        <v>#DIV/0!</v>
      </c>
      <c r="N178" s="36" t="e">
        <f>LN(K178)</f>
        <v>#DIV/0!</v>
      </c>
      <c r="O178" s="36" t="e">
        <f>M178*N178</f>
        <v>#DIV/0!</v>
      </c>
      <c r="P178" s="36" t="e">
        <f>LN(K178)</f>
        <v>#DIV/0!</v>
      </c>
      <c r="Q178" s="38" t="e">
        <f>EXP(P178)</f>
        <v>#DIV/0!</v>
      </c>
      <c r="R178" s="38" t="e">
        <f>SQRT(1/M178)</f>
        <v>#DIV/0!</v>
      </c>
      <c r="S178" s="39">
        <f>$H$2</f>
        <v>1.9599639845400536</v>
      </c>
      <c r="T178" s="40" t="e">
        <f>P178-(R178*S178)</f>
        <v>#DIV/0!</v>
      </c>
      <c r="U178" s="40" t="e">
        <f>P178+(R178*S178)</f>
        <v>#DIV/0!</v>
      </c>
      <c r="V178" s="41" t="e">
        <f>EXP(T178)</f>
        <v>#DIV/0!</v>
      </c>
      <c r="W178" s="42" t="e">
        <f>EXP(U178)</f>
        <v>#DIV/0!</v>
      </c>
      <c r="X178" s="43"/>
      <c r="Z178" s="44" t="e">
        <f>(N178-P182)^2</f>
        <v>#DIV/0!</v>
      </c>
      <c r="AA178" s="45" t="e">
        <f>M178*Z178</f>
        <v>#DIV/0!</v>
      </c>
      <c r="AB178" s="2">
        <v>1</v>
      </c>
      <c r="AC178" s="27"/>
      <c r="AD178" s="27"/>
      <c r="AE178" s="35" t="e">
        <f>M178^2</f>
        <v>#DIV/0!</v>
      </c>
      <c r="AF178" s="46"/>
      <c r="AG178" s="47" t="e">
        <f>AG182</f>
        <v>#DIV/0!</v>
      </c>
      <c r="AH178" s="47" t="e">
        <f>AH182</f>
        <v>#DIV/0!</v>
      </c>
      <c r="AI178" s="45" t="e">
        <f>1/M178</f>
        <v>#DIV/0!</v>
      </c>
      <c r="AJ178" s="48" t="e">
        <f>1/(AH178+AI178)</f>
        <v>#DIV/0!</v>
      </c>
      <c r="AK178" s="49" t="e">
        <f>AJ178/AJ182</f>
        <v>#DIV/0!</v>
      </c>
      <c r="AL178" s="50" t="e">
        <f>AJ178*N178</f>
        <v>#DIV/0!</v>
      </c>
      <c r="AM178" s="50" t="e">
        <f>AL178/AJ178</f>
        <v>#DIV/0!</v>
      </c>
      <c r="AN178" s="42" t="e">
        <f>EXP(AM178)</f>
        <v>#DIV/0!</v>
      </c>
      <c r="AO178" s="51" t="e">
        <f>1/AJ178</f>
        <v>#DIV/0!</v>
      </c>
      <c r="AP178" s="42" t="e">
        <f>SQRT(AO178)</f>
        <v>#DIV/0!</v>
      </c>
      <c r="AQ178" s="39">
        <f>$H$2</f>
        <v>1.9599639845400536</v>
      </c>
      <c r="AR178" s="40" t="e">
        <f>AM178-(AQ178*AP178)</f>
        <v>#DIV/0!</v>
      </c>
      <c r="AS178" s="40" t="e">
        <f>AM178+(1.96*AP178)</f>
        <v>#DIV/0!</v>
      </c>
      <c r="AT178" s="52" t="e">
        <f>EXP(AR178)</f>
        <v>#DIV/0!</v>
      </c>
      <c r="AU178" s="52" t="e">
        <f>EXP(AS178)</f>
        <v>#DIV/0!</v>
      </c>
      <c r="AV178" s="16"/>
      <c r="AX178" s="53"/>
      <c r="AY178" s="53">
        <v>1</v>
      </c>
      <c r="AZ178" s="54"/>
      <c r="BA178" s="54"/>
      <c r="BC178" s="27"/>
      <c r="BD178" s="27"/>
      <c r="BE178" s="2"/>
      <c r="BF178" s="2"/>
      <c r="BG178" s="2"/>
      <c r="BH178" s="2"/>
      <c r="BI178" s="2"/>
      <c r="BJ178" s="2"/>
      <c r="BK178" s="2"/>
      <c r="BL178" s="2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</row>
    <row r="179" spans="2:256" hidden="1">
      <c r="B179" s="28" t="s">
        <v>51</v>
      </c>
      <c r="C179" s="29"/>
      <c r="D179" s="30">
        <f>E179-C179</f>
        <v>0</v>
      </c>
      <c r="E179" s="31"/>
      <c r="F179" s="29"/>
      <c r="G179" s="30">
        <f>H179-F179</f>
        <v>0</v>
      </c>
      <c r="H179" s="31"/>
      <c r="I179" s="32"/>
      <c r="K179" s="33" t="e">
        <f>(C179/E179)/(F179/H179)</f>
        <v>#DIV/0!</v>
      </c>
      <c r="L179" s="34" t="e">
        <f>(D179/(C179*E179)+(G179/(F179*H179)))</f>
        <v>#DIV/0!</v>
      </c>
      <c r="M179" s="35" t="e">
        <f>1/L179</f>
        <v>#DIV/0!</v>
      </c>
      <c r="N179" s="36" t="e">
        <f>LN(K179)</f>
        <v>#DIV/0!</v>
      </c>
      <c r="O179" s="36" t="e">
        <f>M179*N179</f>
        <v>#DIV/0!</v>
      </c>
      <c r="P179" s="36" t="e">
        <f>LN(K179)</f>
        <v>#DIV/0!</v>
      </c>
      <c r="Q179" s="38" t="e">
        <f>EXP(P179)</f>
        <v>#DIV/0!</v>
      </c>
      <c r="R179" s="38" t="e">
        <f>SQRT(1/M179)</f>
        <v>#DIV/0!</v>
      </c>
      <c r="S179" s="39">
        <f>$H$2</f>
        <v>1.9599639845400536</v>
      </c>
      <c r="T179" s="40" t="e">
        <f>P179-(R179*S179)</f>
        <v>#DIV/0!</v>
      </c>
      <c r="U179" s="40" t="e">
        <f>P179+(R179*S179)</f>
        <v>#DIV/0!</v>
      </c>
      <c r="V179" s="41" t="e">
        <f t="shared" ref="V179:W181" si="400">EXP(T179)</f>
        <v>#DIV/0!</v>
      </c>
      <c r="W179" s="42" t="e">
        <f t="shared" si="400"/>
        <v>#DIV/0!</v>
      </c>
      <c r="X179" s="43"/>
      <c r="Z179" s="44" t="e">
        <f>(N179-P182)^2</f>
        <v>#DIV/0!</v>
      </c>
      <c r="AA179" s="45" t="e">
        <f>M179*Z179</f>
        <v>#DIV/0!</v>
      </c>
      <c r="AB179" s="2">
        <v>1</v>
      </c>
      <c r="AC179" s="27"/>
      <c r="AD179" s="27"/>
      <c r="AE179" s="35" t="e">
        <f>M179^2</f>
        <v>#DIV/0!</v>
      </c>
      <c r="AF179" s="46"/>
      <c r="AG179" s="47" t="e">
        <f>AG182</f>
        <v>#DIV/0!</v>
      </c>
      <c r="AH179" s="47" t="e">
        <f>AH182</f>
        <v>#DIV/0!</v>
      </c>
      <c r="AI179" s="45" t="e">
        <f>1/M179</f>
        <v>#DIV/0!</v>
      </c>
      <c r="AJ179" s="48" t="e">
        <f>1/(AH179+AI179)</f>
        <v>#DIV/0!</v>
      </c>
      <c r="AK179" s="49" t="e">
        <f>AJ179/AJ182</f>
        <v>#DIV/0!</v>
      </c>
      <c r="AL179" s="50" t="e">
        <f>AJ179*N179</f>
        <v>#DIV/0!</v>
      </c>
      <c r="AM179" s="50" t="e">
        <f>AL179/AJ179</f>
        <v>#DIV/0!</v>
      </c>
      <c r="AN179" s="42" t="e">
        <f>EXP(AM179)</f>
        <v>#DIV/0!</v>
      </c>
      <c r="AO179" s="51" t="e">
        <f>1/AJ179</f>
        <v>#DIV/0!</v>
      </c>
      <c r="AP179" s="42" t="e">
        <f>SQRT(AO179)</f>
        <v>#DIV/0!</v>
      </c>
      <c r="AQ179" s="39">
        <f>$H$2</f>
        <v>1.9599639845400536</v>
      </c>
      <c r="AR179" s="40" t="e">
        <f>AM179-(AQ179*AP179)</f>
        <v>#DIV/0!</v>
      </c>
      <c r="AS179" s="40" t="e">
        <f>AM179+(1.96*AP179)</f>
        <v>#DIV/0!</v>
      </c>
      <c r="AT179" s="52" t="e">
        <f t="shared" ref="AT179:AU181" si="401">EXP(AR179)</f>
        <v>#DIV/0!</v>
      </c>
      <c r="AU179" s="52" t="e">
        <f t="shared" si="401"/>
        <v>#DIV/0!</v>
      </c>
      <c r="AV179" s="16"/>
      <c r="AX179" s="53"/>
      <c r="AY179" s="53">
        <v>1</v>
      </c>
      <c r="AZ179" s="54"/>
      <c r="BA179" s="54"/>
      <c r="BC179" s="27"/>
      <c r="BD179" s="27"/>
      <c r="BE179" s="2"/>
      <c r="BF179" s="2"/>
      <c r="BG179" s="2"/>
      <c r="BH179" s="2"/>
      <c r="BI179" s="2"/>
      <c r="BJ179" s="2"/>
      <c r="BK179" s="2"/>
      <c r="BL179" s="2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</row>
    <row r="180" spans="2:256" hidden="1">
      <c r="B180" s="28" t="s">
        <v>52</v>
      </c>
      <c r="C180" s="29"/>
      <c r="D180" s="30">
        <f>E180-C180</f>
        <v>0</v>
      </c>
      <c r="E180" s="31"/>
      <c r="F180" s="29"/>
      <c r="G180" s="30">
        <f>H180-F180</f>
        <v>0</v>
      </c>
      <c r="H180" s="31"/>
      <c r="I180" s="32"/>
      <c r="K180" s="33" t="e">
        <f>(C180/E180)/(F180/H180)</f>
        <v>#DIV/0!</v>
      </c>
      <c r="L180" s="34" t="e">
        <f>(D180/(C180*E180)+(G180/(F180*H180)))</f>
        <v>#DIV/0!</v>
      </c>
      <c r="M180" s="35" t="e">
        <f>1/L180</f>
        <v>#DIV/0!</v>
      </c>
      <c r="N180" s="36" t="e">
        <f>LN(K180)</f>
        <v>#DIV/0!</v>
      </c>
      <c r="O180" s="36" t="e">
        <f>M180*N180</f>
        <v>#DIV/0!</v>
      </c>
      <c r="P180" s="36" t="e">
        <f>LN(K180)</f>
        <v>#DIV/0!</v>
      </c>
      <c r="Q180" s="38" t="e">
        <f>EXP(P180)</f>
        <v>#DIV/0!</v>
      </c>
      <c r="R180" s="38" t="e">
        <f>SQRT(1/M180)</f>
        <v>#DIV/0!</v>
      </c>
      <c r="S180" s="39">
        <f>$H$2</f>
        <v>1.9599639845400536</v>
      </c>
      <c r="T180" s="40" t="e">
        <f>P180-(R180*S180)</f>
        <v>#DIV/0!</v>
      </c>
      <c r="U180" s="40" t="e">
        <f>P180+(R180*S180)</f>
        <v>#DIV/0!</v>
      </c>
      <c r="V180" s="41" t="e">
        <f t="shared" si="400"/>
        <v>#DIV/0!</v>
      </c>
      <c r="W180" s="42" t="e">
        <f t="shared" si="400"/>
        <v>#DIV/0!</v>
      </c>
      <c r="X180" s="43"/>
      <c r="Z180" s="44" t="e">
        <f>(N180-P182)^2</f>
        <v>#DIV/0!</v>
      </c>
      <c r="AA180" s="45" t="e">
        <f>M180*Z180</f>
        <v>#DIV/0!</v>
      </c>
      <c r="AB180" s="2">
        <v>1</v>
      </c>
      <c r="AC180" s="27"/>
      <c r="AD180" s="27"/>
      <c r="AE180" s="35" t="e">
        <f>M180^2</f>
        <v>#DIV/0!</v>
      </c>
      <c r="AF180" s="46"/>
      <c r="AG180" s="47" t="e">
        <f>AG182</f>
        <v>#DIV/0!</v>
      </c>
      <c r="AH180" s="47" t="e">
        <f>AH182</f>
        <v>#DIV/0!</v>
      </c>
      <c r="AI180" s="45" t="e">
        <f>1/M180</f>
        <v>#DIV/0!</v>
      </c>
      <c r="AJ180" s="48" t="e">
        <f>1/(AH180+AI180)</f>
        <v>#DIV/0!</v>
      </c>
      <c r="AK180" s="49" t="e">
        <f>AJ180/AJ182</f>
        <v>#DIV/0!</v>
      </c>
      <c r="AL180" s="50" t="e">
        <f>AJ180*N180</f>
        <v>#DIV/0!</v>
      </c>
      <c r="AM180" s="50" t="e">
        <f>AL180/AJ180</f>
        <v>#DIV/0!</v>
      </c>
      <c r="AN180" s="42" t="e">
        <f>EXP(AM180)</f>
        <v>#DIV/0!</v>
      </c>
      <c r="AO180" s="51" t="e">
        <f>1/AJ180</f>
        <v>#DIV/0!</v>
      </c>
      <c r="AP180" s="42" t="e">
        <f>SQRT(AO180)</f>
        <v>#DIV/0!</v>
      </c>
      <c r="AQ180" s="39">
        <f>$H$2</f>
        <v>1.9599639845400536</v>
      </c>
      <c r="AR180" s="40" t="e">
        <f>AM180-(AQ180*AP180)</f>
        <v>#DIV/0!</v>
      </c>
      <c r="AS180" s="40" t="e">
        <f>AM180+(1.96*AP180)</f>
        <v>#DIV/0!</v>
      </c>
      <c r="AT180" s="52" t="e">
        <f t="shared" si="401"/>
        <v>#DIV/0!</v>
      </c>
      <c r="AU180" s="52" t="e">
        <f t="shared" si="401"/>
        <v>#DIV/0!</v>
      </c>
      <c r="AV180" s="16"/>
      <c r="AX180" s="53"/>
      <c r="AY180" s="53">
        <v>1</v>
      </c>
      <c r="AZ180" s="54"/>
      <c r="BA180" s="54"/>
      <c r="BC180" s="27"/>
      <c r="BD180" s="27"/>
      <c r="BE180" s="2"/>
      <c r="BF180" s="2"/>
      <c r="BG180" s="2"/>
      <c r="BH180" s="2"/>
      <c r="BI180" s="2"/>
      <c r="BJ180" s="2"/>
      <c r="BK180" s="2"/>
      <c r="BL180" s="2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</row>
    <row r="181" spans="2:256" hidden="1">
      <c r="B181" s="28" t="s">
        <v>53</v>
      </c>
      <c r="C181" s="29"/>
      <c r="D181" s="30">
        <f>E181-C181</f>
        <v>0</v>
      </c>
      <c r="E181" s="31"/>
      <c r="F181" s="29"/>
      <c r="G181" s="30">
        <f>H181-F181</f>
        <v>0</v>
      </c>
      <c r="H181" s="31"/>
      <c r="I181" s="32"/>
      <c r="K181" s="33" t="e">
        <f>(C181/E181)/(F181/H181)</f>
        <v>#DIV/0!</v>
      </c>
      <c r="L181" s="34" t="e">
        <f>(D181/(C181*E181)+(G181/(F181*H181)))</f>
        <v>#DIV/0!</v>
      </c>
      <c r="M181" s="35" t="e">
        <f>1/L181</f>
        <v>#DIV/0!</v>
      </c>
      <c r="N181" s="36" t="e">
        <f>LN(K181)</f>
        <v>#DIV/0!</v>
      </c>
      <c r="O181" s="36" t="e">
        <f>M181*N181</f>
        <v>#DIV/0!</v>
      </c>
      <c r="P181" s="36" t="e">
        <f>LN(K181)</f>
        <v>#DIV/0!</v>
      </c>
      <c r="Q181" s="38" t="e">
        <f>EXP(P181)</f>
        <v>#DIV/0!</v>
      </c>
      <c r="R181" s="38" t="e">
        <f>SQRT(1/M181)</f>
        <v>#DIV/0!</v>
      </c>
      <c r="S181" s="39">
        <f>$H$2</f>
        <v>1.9599639845400536</v>
      </c>
      <c r="T181" s="40" t="e">
        <f>P181-(R181*S181)</f>
        <v>#DIV/0!</v>
      </c>
      <c r="U181" s="40" t="e">
        <f>P181+(R181*S181)</f>
        <v>#DIV/0!</v>
      </c>
      <c r="V181" s="41" t="e">
        <f t="shared" si="400"/>
        <v>#DIV/0!</v>
      </c>
      <c r="W181" s="42" t="e">
        <f t="shared" si="400"/>
        <v>#DIV/0!</v>
      </c>
      <c r="X181" s="43"/>
      <c r="Z181" s="44" t="e">
        <f>(N181-P182)^2</f>
        <v>#DIV/0!</v>
      </c>
      <c r="AA181" s="45" t="e">
        <f>M181*Z181</f>
        <v>#DIV/0!</v>
      </c>
      <c r="AB181" s="2">
        <v>1</v>
      </c>
      <c r="AC181" s="27"/>
      <c r="AD181" s="27"/>
      <c r="AE181" s="35" t="e">
        <f>M181^2</f>
        <v>#DIV/0!</v>
      </c>
      <c r="AF181" s="46"/>
      <c r="AG181" s="47" t="e">
        <f>AG182</f>
        <v>#DIV/0!</v>
      </c>
      <c r="AH181" s="47" t="e">
        <f>AH182</f>
        <v>#DIV/0!</v>
      </c>
      <c r="AI181" s="45" t="e">
        <f>1/M181</f>
        <v>#DIV/0!</v>
      </c>
      <c r="AJ181" s="48" t="e">
        <f>1/(AH181+AI181)</f>
        <v>#DIV/0!</v>
      </c>
      <c r="AK181" s="49" t="e">
        <f>AJ181/AJ182</f>
        <v>#DIV/0!</v>
      </c>
      <c r="AL181" s="50" t="e">
        <f>AJ181*N181</f>
        <v>#DIV/0!</v>
      </c>
      <c r="AM181" s="50" t="e">
        <f>AL181/AJ181</f>
        <v>#DIV/0!</v>
      </c>
      <c r="AN181" s="42" t="e">
        <f>EXP(AM181)</f>
        <v>#DIV/0!</v>
      </c>
      <c r="AO181" s="51" t="e">
        <f>1/AJ181</f>
        <v>#DIV/0!</v>
      </c>
      <c r="AP181" s="42" t="e">
        <f>SQRT(AO181)</f>
        <v>#DIV/0!</v>
      </c>
      <c r="AQ181" s="39">
        <f>$H$2</f>
        <v>1.9599639845400536</v>
      </c>
      <c r="AR181" s="40" t="e">
        <f>AM181-(AQ181*AP181)</f>
        <v>#DIV/0!</v>
      </c>
      <c r="AS181" s="40" t="e">
        <f>AM181+(1.96*AP181)</f>
        <v>#DIV/0!</v>
      </c>
      <c r="AT181" s="52" t="e">
        <f t="shared" si="401"/>
        <v>#DIV/0!</v>
      </c>
      <c r="AU181" s="52" t="e">
        <f t="shared" si="401"/>
        <v>#DIV/0!</v>
      </c>
      <c r="AV181" s="16"/>
      <c r="AX181" s="53"/>
      <c r="AY181" s="53">
        <v>1</v>
      </c>
      <c r="AZ181" s="54"/>
      <c r="BA181" s="54"/>
      <c r="BC181" s="27"/>
      <c r="BD181" s="27"/>
      <c r="BE181" s="2"/>
      <c r="BF181" s="2"/>
      <c r="BG181" s="2"/>
      <c r="BH181" s="2"/>
      <c r="BI181" s="2"/>
      <c r="BJ181" s="2"/>
      <c r="BK181" s="2"/>
      <c r="BL181" s="2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</row>
    <row r="182" spans="2:256" hidden="1">
      <c r="B182" s="55">
        <f>COUNT(D178:D181)</f>
        <v>4</v>
      </c>
      <c r="C182" s="56">
        <f t="shared" ref="C182:H182" si="402">SUM(C178:C181)</f>
        <v>0</v>
      </c>
      <c r="D182" s="56">
        <f t="shared" si="402"/>
        <v>0</v>
      </c>
      <c r="E182" s="56">
        <f t="shared" si="402"/>
        <v>0</v>
      </c>
      <c r="F182" s="56">
        <f t="shared" si="402"/>
        <v>0</v>
      </c>
      <c r="G182" s="56">
        <f t="shared" si="402"/>
        <v>0</v>
      </c>
      <c r="H182" s="56">
        <f t="shared" si="402"/>
        <v>0</v>
      </c>
      <c r="I182" s="57"/>
      <c r="K182" s="58"/>
      <c r="L182" s="112"/>
      <c r="M182" s="60" t="e">
        <f>SUM(M178:M181)</f>
        <v>#DIV/0!</v>
      </c>
      <c r="N182" s="61"/>
      <c r="O182" s="62" t="e">
        <f>SUM(O178:O181)</f>
        <v>#DIV/0!</v>
      </c>
      <c r="P182" s="63" t="e">
        <f>O182/M182</f>
        <v>#DIV/0!</v>
      </c>
      <c r="Q182" s="488" t="e">
        <f>EXP(P182)</f>
        <v>#DIV/0!</v>
      </c>
      <c r="R182" s="488" t="e">
        <f>SQRT(1/M182)</f>
        <v>#DIV/0!</v>
      </c>
      <c r="S182" s="489">
        <f>$H$2</f>
        <v>1.9599639845400536</v>
      </c>
      <c r="T182" s="490" t="e">
        <f>P182-(R182*S182)</f>
        <v>#DIV/0!</v>
      </c>
      <c r="U182" s="490" t="e">
        <f>P182+(R182*S182)</f>
        <v>#DIV/0!</v>
      </c>
      <c r="V182" s="491" t="e">
        <f>EXP(T182)</f>
        <v>#DIV/0!</v>
      </c>
      <c r="W182" s="492" t="e">
        <f>EXP(U182)</f>
        <v>#DIV/0!</v>
      </c>
      <c r="X182" s="65"/>
      <c r="Y182" s="65"/>
      <c r="Z182" s="66"/>
      <c r="AA182" s="67" t="e">
        <f>SUM(AA178:AA181)</f>
        <v>#DIV/0!</v>
      </c>
      <c r="AB182" s="68">
        <f>SUM(AB178:AB181)</f>
        <v>4</v>
      </c>
      <c r="AC182" s="69" t="e">
        <f>AA182-(AB182-1)</f>
        <v>#DIV/0!</v>
      </c>
      <c r="AD182" s="60" t="e">
        <f>M182</f>
        <v>#DIV/0!</v>
      </c>
      <c r="AE182" s="60" t="e">
        <f>SUM(AE178:AE181)</f>
        <v>#DIV/0!</v>
      </c>
      <c r="AF182" s="70" t="e">
        <f>AE182/AD182</f>
        <v>#DIV/0!</v>
      </c>
      <c r="AG182" s="71" t="e">
        <f>AC182/(AD182-AF182)</f>
        <v>#DIV/0!</v>
      </c>
      <c r="AH182" s="71" t="e">
        <f>IF(AA182&lt;AB182-1,"0",AG182)</f>
        <v>#DIV/0!</v>
      </c>
      <c r="AI182" s="66"/>
      <c r="AJ182" s="60" t="e">
        <f>SUM(AJ178:AJ181)</f>
        <v>#DIV/0!</v>
      </c>
      <c r="AK182" s="72" t="e">
        <f>SUM(AK178:AK181)</f>
        <v>#DIV/0!</v>
      </c>
      <c r="AL182" s="69" t="e">
        <f>SUM(AL178:AL181)</f>
        <v>#DIV/0!</v>
      </c>
      <c r="AM182" s="69" t="e">
        <f>AL182/AJ182</f>
        <v>#DIV/0!</v>
      </c>
      <c r="AN182" s="493" t="e">
        <f>EXP(AM182)</f>
        <v>#DIV/0!</v>
      </c>
      <c r="AO182" s="73" t="e">
        <f>1/AJ182</f>
        <v>#DIV/0!</v>
      </c>
      <c r="AP182" s="74" t="e">
        <f>SQRT(AO182)</f>
        <v>#DIV/0!</v>
      </c>
      <c r="AQ182" s="39">
        <f>$H$2</f>
        <v>1.9599639845400536</v>
      </c>
      <c r="AR182" s="64" t="e">
        <f>AM182-(AQ182*AP182)</f>
        <v>#DIV/0!</v>
      </c>
      <c r="AS182" s="64" t="e">
        <f>AM182+(1.96*AP182)</f>
        <v>#DIV/0!</v>
      </c>
      <c r="AT182" s="494" t="e">
        <f>EXP(AR182)</f>
        <v>#DIV/0!</v>
      </c>
      <c r="AU182" s="494" t="e">
        <f>EXP(AS182)</f>
        <v>#DIV/0!</v>
      </c>
      <c r="AV182" s="75"/>
      <c r="AW182" s="76"/>
      <c r="AX182" s="77" t="e">
        <f>AA182</f>
        <v>#DIV/0!</v>
      </c>
      <c r="AY182" s="55">
        <f>SUM(AY178:AY181)</f>
        <v>4</v>
      </c>
      <c r="AZ182" s="78" t="e">
        <f>(AX182-(AY182-1))/AX182</f>
        <v>#DIV/0!</v>
      </c>
      <c r="BA182" s="79" t="e">
        <f>IF(AA182&lt;AB182-1,"0%",AZ182)</f>
        <v>#DIV/0!</v>
      </c>
      <c r="BB182" s="76"/>
      <c r="BC182" s="62" t="e">
        <f>AX182/(AY182-1)</f>
        <v>#DIV/0!</v>
      </c>
      <c r="BD182" s="80" t="e">
        <f>LN(BC182)</f>
        <v>#DIV/0!</v>
      </c>
      <c r="BE182" s="62" t="e">
        <f>LN(AX182)</f>
        <v>#DIV/0!</v>
      </c>
      <c r="BF182" s="62">
        <f>LN(AY182-1)</f>
        <v>1.0986122886681098</v>
      </c>
      <c r="BG182" s="62" t="e">
        <f>SQRT(2*AX182)</f>
        <v>#DIV/0!</v>
      </c>
      <c r="BH182" s="62">
        <f>SQRT(2*AY182-3)</f>
        <v>2.2360679774997898</v>
      </c>
      <c r="BI182" s="62">
        <f>2*(AY182-2)</f>
        <v>4</v>
      </c>
      <c r="BJ182" s="62">
        <f>3*(AY182-2)^2</f>
        <v>12</v>
      </c>
      <c r="BK182" s="62">
        <f>1/BI182</f>
        <v>0.25</v>
      </c>
      <c r="BL182" s="81">
        <f>1/BJ182</f>
        <v>8.3333333333333329E-2</v>
      </c>
      <c r="BM182" s="81">
        <f>SQRT(BK182*(1-BL182))</f>
        <v>0.47871355387816905</v>
      </c>
      <c r="BN182" s="82" t="e">
        <f>0.5*(BE182-BF182)/(BG182-BH182)</f>
        <v>#DIV/0!</v>
      </c>
      <c r="BO182" s="82" t="e">
        <f>IF(AA182&lt;=AB182,BM182,BN182)</f>
        <v>#DIV/0!</v>
      </c>
      <c r="BP182" s="69" t="e">
        <f>BD182-(1.96*BO182)</f>
        <v>#DIV/0!</v>
      </c>
      <c r="BQ182" s="69" t="e">
        <f>BD182+(1.96*BO182)</f>
        <v>#DIV/0!</v>
      </c>
      <c r="BR182" s="69"/>
      <c r="BS182" s="80" t="e">
        <f>EXP(BP182)</f>
        <v>#DIV/0!</v>
      </c>
      <c r="BT182" s="80" t="e">
        <f>EXP(BQ182)</f>
        <v>#DIV/0!</v>
      </c>
      <c r="BU182" s="83" t="e">
        <f>BA182</f>
        <v>#DIV/0!</v>
      </c>
      <c r="BV182" s="83" t="e">
        <f>(BS182-1)/BS182</f>
        <v>#DIV/0!</v>
      </c>
      <c r="BW182" s="83" t="e">
        <f>(BT182-1)/BT182</f>
        <v>#DIV/0!</v>
      </c>
    </row>
    <row r="183" spans="2:256" ht="13.5" hidden="1" thickBot="1">
      <c r="C183" s="84"/>
      <c r="D183" s="84"/>
      <c r="E183" s="84"/>
      <c r="F183" s="84"/>
      <c r="G183" s="84"/>
      <c r="H183" s="84"/>
      <c r="I183" s="85"/>
      <c r="R183" s="86"/>
      <c r="S183" s="86"/>
      <c r="T183" s="86"/>
      <c r="U183" s="86"/>
      <c r="V183" s="86"/>
      <c r="W183" s="86"/>
      <c r="X183" s="86"/>
      <c r="AB183" s="87"/>
      <c r="AC183" s="88"/>
      <c r="AD183" s="89"/>
      <c r="AE183" s="88"/>
      <c r="AF183" s="90"/>
      <c r="AG183" s="90"/>
      <c r="AH183" s="90"/>
      <c r="AI183" s="90"/>
      <c r="AT183" s="91"/>
      <c r="AU183" s="91"/>
      <c r="AV183" s="91"/>
      <c r="AX183" s="5" t="s">
        <v>59</v>
      </c>
      <c r="BG183" s="10"/>
      <c r="BN183" s="88" t="s">
        <v>60</v>
      </c>
      <c r="BT183" s="92" t="s">
        <v>61</v>
      </c>
      <c r="BU183" s="495" t="e">
        <f>BU182</f>
        <v>#DIV/0!</v>
      </c>
      <c r="BV183" s="495" t="e">
        <f>IF(BV182&lt;0,"0%",BV182)</f>
        <v>#DIV/0!</v>
      </c>
      <c r="BW183" s="496" t="e">
        <f>IF(BW182&lt;0,"0%",BW182)</f>
        <v>#DIV/0!</v>
      </c>
    </row>
    <row r="184" spans="2:256" ht="26.5" hidden="1" thickBot="1">
      <c r="B184" s="5"/>
      <c r="C184" s="93"/>
      <c r="D184" s="93"/>
      <c r="E184" s="93"/>
      <c r="F184" s="93"/>
      <c r="G184" s="93"/>
      <c r="H184" s="93"/>
      <c r="I184" s="94"/>
      <c r="J184" s="5"/>
      <c r="K184" s="5"/>
      <c r="R184" s="95"/>
      <c r="S184" s="95"/>
      <c r="T184" s="95"/>
      <c r="U184" s="95"/>
      <c r="V184" s="95"/>
      <c r="W184" s="95"/>
      <c r="X184" s="95"/>
      <c r="AF184" s="1"/>
      <c r="AI184" s="10"/>
      <c r="AJ184" s="96"/>
      <c r="AK184" s="96"/>
      <c r="AL184" s="97"/>
      <c r="AM184" s="98"/>
      <c r="AO184" s="99" t="s">
        <v>62</v>
      </c>
      <c r="AP184" s="100">
        <f>TINV((1-$H$1),(AB182-2))</f>
        <v>4.3026527297494619</v>
      </c>
      <c r="AR184" s="497" t="s">
        <v>63</v>
      </c>
      <c r="AS184" s="101">
        <f>$H$1</f>
        <v>0.95</v>
      </c>
      <c r="AT184" s="498" t="e">
        <f>EXP(AM182-AP184*SQRT((1/AD182)+AH182))</f>
        <v>#DIV/0!</v>
      </c>
      <c r="AU184" s="498" t="e">
        <f>EXP(AM182+AP184*SQRT((1/AD182)+AH182))</f>
        <v>#DIV/0!</v>
      </c>
      <c r="AV184" s="16"/>
      <c r="AX184" s="102" t="e">
        <f>_xlfn.CHISQ.DIST.RT(AX182,AY182-1)</f>
        <v>#DIV/0!</v>
      </c>
      <c r="AY184" s="103" t="e">
        <f>IF(AX184&lt;0.05,"heterogeneidad","homogeneidad")</f>
        <v>#DIV/0!</v>
      </c>
      <c r="BF184" s="104"/>
      <c r="BG184" s="10"/>
      <c r="BH184" s="10"/>
      <c r="BJ184" s="43"/>
      <c r="BL184" s="10"/>
      <c r="BM184" s="105"/>
      <c r="BQ184" s="10"/>
    </row>
    <row r="185" spans="2:256" ht="14.5" hidden="1">
      <c r="C185" s="84"/>
      <c r="D185" s="84"/>
      <c r="E185" s="84"/>
      <c r="F185" s="84"/>
      <c r="G185" s="84"/>
      <c r="H185" s="84"/>
      <c r="I185" s="85"/>
      <c r="R185" s="95"/>
      <c r="S185" s="95"/>
      <c r="T185" s="95"/>
      <c r="U185" s="95"/>
      <c r="V185" s="95"/>
      <c r="W185" s="95"/>
      <c r="X185" s="95"/>
      <c r="AF185" s="1"/>
      <c r="AI185" s="10"/>
      <c r="AJ185" s="96"/>
      <c r="AK185" s="96"/>
      <c r="AL185" s="97"/>
      <c r="AM185" s="98"/>
      <c r="AN185" s="106"/>
      <c r="AO185" s="107"/>
      <c r="AP185" s="13"/>
      <c r="AS185" s="108"/>
      <c r="AT185" s="16"/>
      <c r="AU185" s="16"/>
      <c r="AV185" s="16"/>
      <c r="BF185" s="104"/>
      <c r="BG185" s="10"/>
      <c r="BH185" s="10"/>
      <c r="BJ185" s="43"/>
      <c r="BL185" s="10"/>
      <c r="BM185" s="109"/>
      <c r="BQ185" s="10"/>
    </row>
    <row r="186" spans="2:256" ht="13" hidden="1" customHeight="1">
      <c r="C186" s="84"/>
      <c r="D186" s="84"/>
      <c r="E186" s="84"/>
      <c r="F186" s="84"/>
      <c r="G186" s="84"/>
      <c r="H186" s="84"/>
      <c r="I186" s="85"/>
      <c r="J186" s="668" t="s">
        <v>4</v>
      </c>
      <c r="K186" s="669"/>
      <c r="L186" s="669"/>
      <c r="M186" s="669"/>
      <c r="N186" s="669"/>
      <c r="O186" s="669"/>
      <c r="P186" s="669"/>
      <c r="Q186" s="669"/>
      <c r="R186" s="669"/>
      <c r="S186" s="669"/>
      <c r="T186" s="669"/>
      <c r="U186" s="669"/>
      <c r="V186" s="669"/>
      <c r="W186" s="670"/>
      <c r="X186" s="11"/>
      <c r="Y186" s="668" t="s">
        <v>5</v>
      </c>
      <c r="Z186" s="669"/>
      <c r="AA186" s="669"/>
      <c r="AB186" s="669"/>
      <c r="AC186" s="669"/>
      <c r="AD186" s="669"/>
      <c r="AE186" s="669"/>
      <c r="AF186" s="669"/>
      <c r="AG186" s="669"/>
      <c r="AH186" s="669"/>
      <c r="AI186" s="669"/>
      <c r="AJ186" s="669"/>
      <c r="AK186" s="669"/>
      <c r="AL186" s="669"/>
      <c r="AM186" s="669"/>
      <c r="AN186" s="669"/>
      <c r="AO186" s="669"/>
      <c r="AP186" s="669"/>
      <c r="AQ186" s="669"/>
      <c r="AR186" s="669"/>
      <c r="AS186" s="669"/>
      <c r="AT186" s="669"/>
      <c r="AU186" s="670"/>
      <c r="AV186" s="11"/>
      <c r="AW186" s="668" t="s">
        <v>232</v>
      </c>
      <c r="AX186" s="669"/>
      <c r="AY186" s="669"/>
      <c r="AZ186" s="669"/>
      <c r="BA186" s="669"/>
      <c r="BB186" s="669"/>
      <c r="BC186" s="669"/>
      <c r="BD186" s="669"/>
      <c r="BE186" s="669"/>
      <c r="BF186" s="669"/>
      <c r="BG186" s="669"/>
      <c r="BH186" s="669"/>
      <c r="BI186" s="669"/>
      <c r="BJ186" s="669"/>
      <c r="BK186" s="669"/>
      <c r="BL186" s="669"/>
      <c r="BM186" s="669"/>
      <c r="BN186" s="669"/>
      <c r="BO186" s="669"/>
      <c r="BP186" s="669"/>
      <c r="BQ186" s="669"/>
      <c r="BR186" s="669"/>
      <c r="BS186" s="669"/>
      <c r="BT186" s="669"/>
      <c r="BU186" s="669"/>
      <c r="BV186" s="669"/>
      <c r="BW186" s="670"/>
    </row>
    <row r="187" spans="2:256" hidden="1">
      <c r="B187" s="12" t="s">
        <v>6</v>
      </c>
      <c r="C187" s="677" t="s">
        <v>7</v>
      </c>
      <c r="D187" s="677"/>
      <c r="E187" s="677"/>
      <c r="F187" s="677" t="s">
        <v>8</v>
      </c>
      <c r="G187" s="677"/>
      <c r="H187" s="677"/>
      <c r="I187" s="13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2:256" ht="60" hidden="1">
      <c r="B188" s="503"/>
      <c r="C188" s="15" t="s">
        <v>9</v>
      </c>
      <c r="D188" s="15" t="s">
        <v>10</v>
      </c>
      <c r="E188" s="15" t="s">
        <v>11</v>
      </c>
      <c r="F188" s="15" t="s">
        <v>9</v>
      </c>
      <c r="G188" s="15" t="s">
        <v>10</v>
      </c>
      <c r="H188" s="15" t="s">
        <v>11</v>
      </c>
      <c r="I188" s="16"/>
      <c r="K188" s="17" t="s">
        <v>12</v>
      </c>
      <c r="L188" s="17" t="s">
        <v>13</v>
      </c>
      <c r="M188" s="17" t="s">
        <v>14</v>
      </c>
      <c r="N188" s="18" t="s">
        <v>15</v>
      </c>
      <c r="O188" s="18" t="s">
        <v>16</v>
      </c>
      <c r="P188" s="18" t="s">
        <v>17</v>
      </c>
      <c r="Q188" s="486" t="s">
        <v>18</v>
      </c>
      <c r="R188" s="486" t="s">
        <v>19</v>
      </c>
      <c r="S188" s="487" t="s">
        <v>3</v>
      </c>
      <c r="T188" s="486" t="s">
        <v>20</v>
      </c>
      <c r="U188" s="486" t="s">
        <v>21</v>
      </c>
      <c r="V188" s="486" t="s">
        <v>22</v>
      </c>
      <c r="W188" s="486" t="s">
        <v>22</v>
      </c>
      <c r="X188" s="19"/>
      <c r="Y188" s="20"/>
      <c r="Z188" s="21" t="s">
        <v>23</v>
      </c>
      <c r="AA188" s="18" t="s">
        <v>24</v>
      </c>
      <c r="AB188" s="3" t="s">
        <v>25</v>
      </c>
      <c r="AC188" s="3" t="s">
        <v>26</v>
      </c>
      <c r="AD188" s="3" t="s">
        <v>27</v>
      </c>
      <c r="AE188" s="18" t="s">
        <v>28</v>
      </c>
      <c r="AF188" s="18" t="s">
        <v>29</v>
      </c>
      <c r="AG188" s="22" t="s">
        <v>30</v>
      </c>
      <c r="AH188" s="22" t="s">
        <v>31</v>
      </c>
      <c r="AI188" s="3" t="s">
        <v>32</v>
      </c>
      <c r="AJ188" s="18" t="s">
        <v>33</v>
      </c>
      <c r="AK188" s="18" t="s">
        <v>34</v>
      </c>
      <c r="AL188" s="18" t="s">
        <v>35</v>
      </c>
      <c r="AM188" s="3" t="s">
        <v>36</v>
      </c>
      <c r="AN188" s="487" t="s">
        <v>37</v>
      </c>
      <c r="AO188" s="18" t="s">
        <v>38</v>
      </c>
      <c r="AP188" s="18" t="s">
        <v>39</v>
      </c>
      <c r="AQ188" s="3" t="s">
        <v>3</v>
      </c>
      <c r="AR188" s="18" t="s">
        <v>40</v>
      </c>
      <c r="AS188" s="18" t="s">
        <v>41</v>
      </c>
      <c r="AT188" s="486" t="s">
        <v>22</v>
      </c>
      <c r="AU188" s="486" t="s">
        <v>22</v>
      </c>
      <c r="AV188" s="19"/>
      <c r="AX188" s="23" t="s">
        <v>42</v>
      </c>
      <c r="AY188" s="23" t="s">
        <v>25</v>
      </c>
      <c r="AZ188" s="24" t="s">
        <v>64</v>
      </c>
      <c r="BA188" s="25" t="s">
        <v>65</v>
      </c>
      <c r="BC188" s="3" t="s">
        <v>66</v>
      </c>
      <c r="BD188" s="3" t="s">
        <v>67</v>
      </c>
      <c r="BE188" s="3" t="s">
        <v>43</v>
      </c>
      <c r="BF188" s="3" t="s">
        <v>44</v>
      </c>
      <c r="BG188" s="3" t="s">
        <v>45</v>
      </c>
      <c r="BH188" s="3" t="s">
        <v>46</v>
      </c>
      <c r="BI188" s="3" t="s">
        <v>47</v>
      </c>
      <c r="BJ188" s="3" t="s">
        <v>68</v>
      </c>
      <c r="BK188" s="3" t="s">
        <v>48</v>
      </c>
      <c r="BL188" s="3" t="s">
        <v>49</v>
      </c>
      <c r="BM188" s="26" t="s">
        <v>69</v>
      </c>
      <c r="BN188" s="26" t="s">
        <v>70</v>
      </c>
      <c r="BO188" s="26" t="s">
        <v>71</v>
      </c>
      <c r="BP188" s="26" t="s">
        <v>72</v>
      </c>
      <c r="BQ188" s="26" t="s">
        <v>73</v>
      </c>
      <c r="BR188" s="27"/>
      <c r="BS188" s="18" t="s">
        <v>74</v>
      </c>
      <c r="BT188" s="18" t="s">
        <v>75</v>
      </c>
      <c r="BU188" s="486" t="s">
        <v>229</v>
      </c>
      <c r="BV188" s="486" t="s">
        <v>230</v>
      </c>
      <c r="BW188" s="486" t="s">
        <v>231</v>
      </c>
    </row>
    <row r="189" spans="2:256" hidden="1">
      <c r="B189" s="28" t="s">
        <v>50</v>
      </c>
      <c r="C189" s="29"/>
      <c r="D189" s="30">
        <f>E189-C189</f>
        <v>0</v>
      </c>
      <c r="E189" s="31"/>
      <c r="F189" s="29"/>
      <c r="G189" s="30">
        <f>H189-F189</f>
        <v>0</v>
      </c>
      <c r="H189" s="31"/>
      <c r="I189" s="32"/>
      <c r="K189" s="33" t="e">
        <f>(C189/E189)/(F189/H189)</f>
        <v>#DIV/0!</v>
      </c>
      <c r="L189" s="34" t="e">
        <f>(D189/(C189*E189)+(G189/(F189*H189)))</f>
        <v>#DIV/0!</v>
      </c>
      <c r="M189" s="35" t="e">
        <f>1/L189</f>
        <v>#DIV/0!</v>
      </c>
      <c r="N189" s="36" t="e">
        <f>LN(K189)</f>
        <v>#DIV/0!</v>
      </c>
      <c r="O189" s="36" t="e">
        <f>M189*N189</f>
        <v>#DIV/0!</v>
      </c>
      <c r="P189" s="36" t="e">
        <f>LN(K189)</f>
        <v>#DIV/0!</v>
      </c>
      <c r="Q189" s="110" t="e">
        <f>K189</f>
        <v>#DIV/0!</v>
      </c>
      <c r="R189" s="38" t="e">
        <f>SQRT(1/M189)</f>
        <v>#DIV/0!</v>
      </c>
      <c r="S189" s="39">
        <f>$H$2</f>
        <v>1.9599639845400536</v>
      </c>
      <c r="T189" s="40" t="e">
        <f>P189-(R189*S189)</f>
        <v>#DIV/0!</v>
      </c>
      <c r="U189" s="40" t="e">
        <f>P189+(R189*S189)</f>
        <v>#DIV/0!</v>
      </c>
      <c r="V189" s="41" t="e">
        <f t="shared" ref="V189:W192" si="403">EXP(T189)</f>
        <v>#DIV/0!</v>
      </c>
      <c r="W189" s="42" t="e">
        <f t="shared" si="403"/>
        <v>#DIV/0!</v>
      </c>
      <c r="X189" s="43"/>
      <c r="Z189" s="44" t="e">
        <f>(N189-P192)^2</f>
        <v>#DIV/0!</v>
      </c>
      <c r="AA189" s="45" t="e">
        <f>M189*Z189</f>
        <v>#DIV/0!</v>
      </c>
      <c r="AB189" s="2">
        <v>1</v>
      </c>
      <c r="AC189" s="27"/>
      <c r="AD189" s="27"/>
      <c r="AE189" s="35" t="e">
        <f>M189^2</f>
        <v>#DIV/0!</v>
      </c>
      <c r="AF189" s="46"/>
      <c r="AG189" s="47" t="e">
        <f>AG192</f>
        <v>#DIV/0!</v>
      </c>
      <c r="AH189" s="47" t="e">
        <f>AH192</f>
        <v>#DIV/0!</v>
      </c>
      <c r="AI189" s="45" t="e">
        <f>1/M189</f>
        <v>#DIV/0!</v>
      </c>
      <c r="AJ189" s="48" t="e">
        <f>1/(AH189+AI189)</f>
        <v>#DIV/0!</v>
      </c>
      <c r="AK189" s="49" t="e">
        <f>AJ189/AJ192</f>
        <v>#DIV/0!</v>
      </c>
      <c r="AL189" s="50" t="e">
        <f>AJ189*N189</f>
        <v>#DIV/0!</v>
      </c>
      <c r="AM189" s="50" t="e">
        <f>AL189/AJ189</f>
        <v>#DIV/0!</v>
      </c>
      <c r="AN189" s="42" t="e">
        <f>EXP(AM189)</f>
        <v>#DIV/0!</v>
      </c>
      <c r="AO189" s="51" t="e">
        <f>1/AJ189</f>
        <v>#DIV/0!</v>
      </c>
      <c r="AP189" s="42" t="e">
        <f>SQRT(AO189)</f>
        <v>#DIV/0!</v>
      </c>
      <c r="AQ189" s="39">
        <f>$H$2</f>
        <v>1.9599639845400536</v>
      </c>
      <c r="AR189" s="40" t="e">
        <f>AM189-(AQ189*AP189)</f>
        <v>#DIV/0!</v>
      </c>
      <c r="AS189" s="40" t="e">
        <f>AM189+(1.96*AP189)</f>
        <v>#DIV/0!</v>
      </c>
      <c r="AT189" s="52" t="e">
        <f t="shared" ref="AT189:AU192" si="404">EXP(AR189)</f>
        <v>#DIV/0!</v>
      </c>
      <c r="AU189" s="52" t="e">
        <f t="shared" si="404"/>
        <v>#DIV/0!</v>
      </c>
      <c r="AV189" s="16"/>
      <c r="AX189" s="53"/>
      <c r="AY189" s="53">
        <v>1</v>
      </c>
      <c r="AZ189" s="54"/>
      <c r="BA189" s="54"/>
      <c r="BC189" s="27"/>
      <c r="BD189" s="27"/>
      <c r="BE189" s="2"/>
      <c r="BF189" s="2"/>
      <c r="BG189" s="2"/>
      <c r="BH189" s="2"/>
      <c r="BI189" s="2"/>
      <c r="BJ189" s="2"/>
      <c r="BK189" s="2"/>
      <c r="BL189" s="2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</row>
    <row r="190" spans="2:256" hidden="1">
      <c r="B190" s="28" t="s">
        <v>51</v>
      </c>
      <c r="C190" s="29"/>
      <c r="D190" s="30">
        <f>E190-C190</f>
        <v>0</v>
      </c>
      <c r="E190" s="31"/>
      <c r="F190" s="29"/>
      <c r="G190" s="30">
        <f>H190-F190</f>
        <v>0</v>
      </c>
      <c r="H190" s="31"/>
      <c r="I190" s="32"/>
      <c r="K190" s="33" t="e">
        <f>(C190/E190)/(F190/H190)</f>
        <v>#DIV/0!</v>
      </c>
      <c r="L190" s="34" t="e">
        <f>(D190/(C190*E190)+(G190/(F190*H190)))</f>
        <v>#DIV/0!</v>
      </c>
      <c r="M190" s="35" t="e">
        <f>1/L190</f>
        <v>#DIV/0!</v>
      </c>
      <c r="N190" s="36" t="e">
        <f>LN(K190)</f>
        <v>#DIV/0!</v>
      </c>
      <c r="O190" s="36" t="e">
        <f>M190*N190</f>
        <v>#DIV/0!</v>
      </c>
      <c r="P190" s="36" t="e">
        <f>LN(K190)</f>
        <v>#DIV/0!</v>
      </c>
      <c r="Q190" s="110" t="e">
        <f>K190</f>
        <v>#DIV/0!</v>
      </c>
      <c r="R190" s="38" t="e">
        <f>SQRT(1/M190)</f>
        <v>#DIV/0!</v>
      </c>
      <c r="S190" s="39">
        <f>$H$2</f>
        <v>1.9599639845400536</v>
      </c>
      <c r="T190" s="40" t="e">
        <f>P190-(R190*S190)</f>
        <v>#DIV/0!</v>
      </c>
      <c r="U190" s="40" t="e">
        <f>P190+(R190*S190)</f>
        <v>#DIV/0!</v>
      </c>
      <c r="V190" s="41" t="e">
        <f t="shared" si="403"/>
        <v>#DIV/0!</v>
      </c>
      <c r="W190" s="42" t="e">
        <f t="shared" si="403"/>
        <v>#DIV/0!</v>
      </c>
      <c r="X190" s="43"/>
      <c r="Z190" s="44" t="e">
        <f>(N190-P192)^2</f>
        <v>#DIV/0!</v>
      </c>
      <c r="AA190" s="45" t="e">
        <f>M190*Z190</f>
        <v>#DIV/0!</v>
      </c>
      <c r="AB190" s="2">
        <v>1</v>
      </c>
      <c r="AC190" s="27"/>
      <c r="AD190" s="27"/>
      <c r="AE190" s="35" t="e">
        <f>M190^2</f>
        <v>#DIV/0!</v>
      </c>
      <c r="AF190" s="46"/>
      <c r="AG190" s="47" t="e">
        <f>AG192</f>
        <v>#DIV/0!</v>
      </c>
      <c r="AH190" s="47" t="e">
        <f>AH192</f>
        <v>#DIV/0!</v>
      </c>
      <c r="AI190" s="45" t="e">
        <f>1/M190</f>
        <v>#DIV/0!</v>
      </c>
      <c r="AJ190" s="48" t="e">
        <f>1/(AH190+AI190)</f>
        <v>#DIV/0!</v>
      </c>
      <c r="AK190" s="49" t="e">
        <f>AJ190/AJ192</f>
        <v>#DIV/0!</v>
      </c>
      <c r="AL190" s="50" t="e">
        <f>AJ190*N190</f>
        <v>#DIV/0!</v>
      </c>
      <c r="AM190" s="50" t="e">
        <f>AL190/AJ190</f>
        <v>#DIV/0!</v>
      </c>
      <c r="AN190" s="42" t="e">
        <f>EXP(AM190)</f>
        <v>#DIV/0!</v>
      </c>
      <c r="AO190" s="51" t="e">
        <f>1/AJ190</f>
        <v>#DIV/0!</v>
      </c>
      <c r="AP190" s="42" t="e">
        <f>SQRT(AO190)</f>
        <v>#DIV/0!</v>
      </c>
      <c r="AQ190" s="39">
        <f>$H$2</f>
        <v>1.9599639845400536</v>
      </c>
      <c r="AR190" s="40" t="e">
        <f>AM190-(AQ190*AP190)</f>
        <v>#DIV/0!</v>
      </c>
      <c r="AS190" s="40" t="e">
        <f>AM190+(1.96*AP190)</f>
        <v>#DIV/0!</v>
      </c>
      <c r="AT190" s="52" t="e">
        <f t="shared" si="404"/>
        <v>#DIV/0!</v>
      </c>
      <c r="AU190" s="52" t="e">
        <f t="shared" si="404"/>
        <v>#DIV/0!</v>
      </c>
      <c r="AV190" s="16"/>
      <c r="AX190" s="53"/>
      <c r="AY190" s="53">
        <v>1</v>
      </c>
      <c r="AZ190" s="54"/>
      <c r="BA190" s="54"/>
      <c r="BC190" s="27"/>
      <c r="BD190" s="27"/>
      <c r="BE190" s="2"/>
      <c r="BF190" s="2"/>
      <c r="BG190" s="2"/>
      <c r="BH190" s="2"/>
      <c r="BI190" s="2"/>
      <c r="BJ190" s="2"/>
      <c r="BK190" s="2"/>
      <c r="BL190" s="2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</row>
    <row r="191" spans="2:256" hidden="1">
      <c r="B191" s="28" t="s">
        <v>52</v>
      </c>
      <c r="C191" s="29"/>
      <c r="D191" s="30">
        <f>E191-C191</f>
        <v>0</v>
      </c>
      <c r="E191" s="31"/>
      <c r="F191" s="29"/>
      <c r="G191" s="30">
        <f>H191-F191</f>
        <v>0</v>
      </c>
      <c r="H191" s="31"/>
      <c r="I191" s="32"/>
      <c r="K191" s="33" t="e">
        <f>(C191/E191)/(F191/H191)</f>
        <v>#DIV/0!</v>
      </c>
      <c r="L191" s="34" t="e">
        <f>(D191/(C191*E191)+(G191/(F191*H191)))</f>
        <v>#DIV/0!</v>
      </c>
      <c r="M191" s="35" t="e">
        <f>1/L191</f>
        <v>#DIV/0!</v>
      </c>
      <c r="N191" s="36" t="e">
        <f>LN(K191)</f>
        <v>#DIV/0!</v>
      </c>
      <c r="O191" s="36" t="e">
        <f>M191*N191</f>
        <v>#DIV/0!</v>
      </c>
      <c r="P191" s="36" t="e">
        <f>LN(K191)</f>
        <v>#DIV/0!</v>
      </c>
      <c r="Q191" s="110" t="e">
        <f>K191</f>
        <v>#DIV/0!</v>
      </c>
      <c r="R191" s="38" t="e">
        <f>SQRT(1/M191)</f>
        <v>#DIV/0!</v>
      </c>
      <c r="S191" s="39">
        <f>$H$2</f>
        <v>1.9599639845400536</v>
      </c>
      <c r="T191" s="40" t="e">
        <f>P191-(R191*S191)</f>
        <v>#DIV/0!</v>
      </c>
      <c r="U191" s="40" t="e">
        <f>P191+(R191*S191)</f>
        <v>#DIV/0!</v>
      </c>
      <c r="V191" s="41" t="e">
        <f t="shared" si="403"/>
        <v>#DIV/0!</v>
      </c>
      <c r="W191" s="42" t="e">
        <f t="shared" si="403"/>
        <v>#DIV/0!</v>
      </c>
      <c r="X191" s="43"/>
      <c r="Z191" s="44" t="e">
        <f>(N191-P192)^2</f>
        <v>#DIV/0!</v>
      </c>
      <c r="AA191" s="45" t="e">
        <f>M191*Z191</f>
        <v>#DIV/0!</v>
      </c>
      <c r="AB191" s="2">
        <v>1</v>
      </c>
      <c r="AC191" s="27"/>
      <c r="AD191" s="27"/>
      <c r="AE191" s="35" t="e">
        <f>M191^2</f>
        <v>#DIV/0!</v>
      </c>
      <c r="AF191" s="46"/>
      <c r="AG191" s="47" t="e">
        <f>AG192</f>
        <v>#DIV/0!</v>
      </c>
      <c r="AH191" s="47" t="e">
        <f>AH192</f>
        <v>#DIV/0!</v>
      </c>
      <c r="AI191" s="45" t="e">
        <f>1/M191</f>
        <v>#DIV/0!</v>
      </c>
      <c r="AJ191" s="48" t="e">
        <f>1/(AH191+AI191)</f>
        <v>#DIV/0!</v>
      </c>
      <c r="AK191" s="49" t="e">
        <f>AJ191/AJ192</f>
        <v>#DIV/0!</v>
      </c>
      <c r="AL191" s="50" t="e">
        <f>AJ191*N191</f>
        <v>#DIV/0!</v>
      </c>
      <c r="AM191" s="50" t="e">
        <f>AL191/AJ191</f>
        <v>#DIV/0!</v>
      </c>
      <c r="AN191" s="42" t="e">
        <f>EXP(AM191)</f>
        <v>#DIV/0!</v>
      </c>
      <c r="AO191" s="51" t="e">
        <f>1/AJ191</f>
        <v>#DIV/0!</v>
      </c>
      <c r="AP191" s="42" t="e">
        <f>SQRT(AO191)</f>
        <v>#DIV/0!</v>
      </c>
      <c r="AQ191" s="39">
        <f>$H$2</f>
        <v>1.9599639845400536</v>
      </c>
      <c r="AR191" s="40" t="e">
        <f>AM191-(AQ191*AP191)</f>
        <v>#DIV/0!</v>
      </c>
      <c r="AS191" s="40" t="e">
        <f>AM191+(1.96*AP191)</f>
        <v>#DIV/0!</v>
      </c>
      <c r="AT191" s="52" t="e">
        <f t="shared" si="404"/>
        <v>#DIV/0!</v>
      </c>
      <c r="AU191" s="52" t="e">
        <f t="shared" si="404"/>
        <v>#DIV/0!</v>
      </c>
      <c r="AV191" s="16"/>
      <c r="AX191" s="53"/>
      <c r="AY191" s="53">
        <v>1</v>
      </c>
      <c r="AZ191" s="54"/>
      <c r="BA191" s="54"/>
      <c r="BC191" s="27"/>
      <c r="BD191" s="27"/>
      <c r="BE191" s="2"/>
      <c r="BF191" s="2"/>
      <c r="BG191" s="2"/>
      <c r="BH191" s="2"/>
      <c r="BI191" s="2"/>
      <c r="BJ191" s="2"/>
      <c r="BK191" s="2"/>
      <c r="BL191" s="2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</row>
    <row r="192" spans="2:256" hidden="1">
      <c r="B192" s="55">
        <f>COUNT(D189:D191)</f>
        <v>3</v>
      </c>
      <c r="C192" s="56">
        <f t="shared" ref="C192:H192" si="405">SUM(C189:C191)</f>
        <v>0</v>
      </c>
      <c r="D192" s="56">
        <f t="shared" si="405"/>
        <v>0</v>
      </c>
      <c r="E192" s="56">
        <f t="shared" si="405"/>
        <v>0</v>
      </c>
      <c r="F192" s="56">
        <f t="shared" si="405"/>
        <v>0</v>
      </c>
      <c r="G192" s="56">
        <f t="shared" si="405"/>
        <v>0</v>
      </c>
      <c r="H192" s="56">
        <f t="shared" si="405"/>
        <v>0</v>
      </c>
      <c r="I192" s="57"/>
      <c r="K192" s="58"/>
      <c r="L192" s="59"/>
      <c r="M192" s="60" t="e">
        <f>SUM(M189:M191)</f>
        <v>#DIV/0!</v>
      </c>
      <c r="N192" s="61"/>
      <c r="O192" s="62" t="e">
        <f>SUM(O189:O191)</f>
        <v>#DIV/0!</v>
      </c>
      <c r="P192" s="63" t="e">
        <f>O192/M192</f>
        <v>#DIV/0!</v>
      </c>
      <c r="Q192" s="488" t="e">
        <f>EXP(P192)</f>
        <v>#DIV/0!</v>
      </c>
      <c r="R192" s="488" t="e">
        <f>SQRT(1/M192)</f>
        <v>#DIV/0!</v>
      </c>
      <c r="S192" s="489">
        <f>$H$2</f>
        <v>1.9599639845400536</v>
      </c>
      <c r="T192" s="490" t="e">
        <f>P192-(R192*S192)</f>
        <v>#DIV/0!</v>
      </c>
      <c r="U192" s="490" t="e">
        <f>P192+(R192*S192)</f>
        <v>#DIV/0!</v>
      </c>
      <c r="V192" s="491" t="e">
        <f t="shared" si="403"/>
        <v>#DIV/0!</v>
      </c>
      <c r="W192" s="492" t="e">
        <f t="shared" si="403"/>
        <v>#DIV/0!</v>
      </c>
      <c r="X192" s="65"/>
      <c r="Y192" s="65"/>
      <c r="Z192" s="66"/>
      <c r="AA192" s="67" t="e">
        <f>SUM(AA189:AA191)</f>
        <v>#DIV/0!</v>
      </c>
      <c r="AB192" s="68">
        <f>SUM(AB189:AB191)</f>
        <v>3</v>
      </c>
      <c r="AC192" s="69" t="e">
        <f>AA192-(AB192-1)</f>
        <v>#DIV/0!</v>
      </c>
      <c r="AD192" s="60" t="e">
        <f>M192</f>
        <v>#DIV/0!</v>
      </c>
      <c r="AE192" s="60" t="e">
        <f>SUM(AE189:AE191)</f>
        <v>#DIV/0!</v>
      </c>
      <c r="AF192" s="70" t="e">
        <f>AE192/AD192</f>
        <v>#DIV/0!</v>
      </c>
      <c r="AG192" s="71" t="e">
        <f>AC192/(AD192-AF192)</f>
        <v>#DIV/0!</v>
      </c>
      <c r="AH192" s="71" t="e">
        <f>IF(AA192&lt;AB192-1,"0",AG192)</f>
        <v>#DIV/0!</v>
      </c>
      <c r="AI192" s="66"/>
      <c r="AJ192" s="60" t="e">
        <f>SUM(AJ189:AJ191)</f>
        <v>#DIV/0!</v>
      </c>
      <c r="AK192" s="72" t="e">
        <f>SUM(AK189:AK191)</f>
        <v>#DIV/0!</v>
      </c>
      <c r="AL192" s="69" t="e">
        <f>SUM(AL189:AL191)</f>
        <v>#DIV/0!</v>
      </c>
      <c r="AM192" s="69" t="e">
        <f>AL192/AJ192</f>
        <v>#DIV/0!</v>
      </c>
      <c r="AN192" s="493" t="e">
        <f>EXP(AM192)</f>
        <v>#DIV/0!</v>
      </c>
      <c r="AO192" s="73" t="e">
        <f>1/AJ192</f>
        <v>#DIV/0!</v>
      </c>
      <c r="AP192" s="74" t="e">
        <f>SQRT(AO192)</f>
        <v>#DIV/0!</v>
      </c>
      <c r="AQ192" s="39">
        <f>$H$2</f>
        <v>1.9599639845400536</v>
      </c>
      <c r="AR192" s="64" t="e">
        <f>AM192-(AQ192*AP192)</f>
        <v>#DIV/0!</v>
      </c>
      <c r="AS192" s="64" t="e">
        <f>AM192+(1.96*AP192)</f>
        <v>#DIV/0!</v>
      </c>
      <c r="AT192" s="494" t="e">
        <f t="shared" si="404"/>
        <v>#DIV/0!</v>
      </c>
      <c r="AU192" s="494" t="e">
        <f t="shared" si="404"/>
        <v>#DIV/0!</v>
      </c>
      <c r="AV192" s="75"/>
      <c r="AW192" s="76"/>
      <c r="AX192" s="77" t="e">
        <f>AA192</f>
        <v>#DIV/0!</v>
      </c>
      <c r="AY192" s="55">
        <f>SUM(AY189:AY191)</f>
        <v>3</v>
      </c>
      <c r="AZ192" s="78" t="e">
        <f>(AX192-(AY192-1))/AX192</f>
        <v>#DIV/0!</v>
      </c>
      <c r="BA192" s="79" t="e">
        <f>IF(AA192&lt;AB192-1,"0%",AZ192)</f>
        <v>#DIV/0!</v>
      </c>
      <c r="BB192" s="76"/>
      <c r="BC192" s="62" t="e">
        <f>AX192/(AY192-1)</f>
        <v>#DIV/0!</v>
      </c>
      <c r="BD192" s="80" t="e">
        <f>LN(BC192)</f>
        <v>#DIV/0!</v>
      </c>
      <c r="BE192" s="62" t="e">
        <f>LN(AX192)</f>
        <v>#DIV/0!</v>
      </c>
      <c r="BF192" s="62">
        <f>LN(AY192-1)</f>
        <v>0.69314718055994529</v>
      </c>
      <c r="BG192" s="62" t="e">
        <f>SQRT(2*AX192)</f>
        <v>#DIV/0!</v>
      </c>
      <c r="BH192" s="62">
        <f>SQRT(2*AY192-3)</f>
        <v>1.7320508075688772</v>
      </c>
      <c r="BI192" s="62">
        <f>2*(AY192-2)</f>
        <v>2</v>
      </c>
      <c r="BJ192" s="62">
        <f>3*(AY192-2)^2</f>
        <v>3</v>
      </c>
      <c r="BK192" s="62">
        <f>1/BI192</f>
        <v>0.5</v>
      </c>
      <c r="BL192" s="81">
        <f>1/BJ192</f>
        <v>0.33333333333333331</v>
      </c>
      <c r="BM192" s="81">
        <f>SQRT(BK192*(1-BL192))</f>
        <v>0.57735026918962584</v>
      </c>
      <c r="BN192" s="82" t="e">
        <f>0.5*(BE192-BF192)/(BG192-BH192)</f>
        <v>#DIV/0!</v>
      </c>
      <c r="BO192" s="82" t="e">
        <f>IF(AA192&lt;=AB192,BM192,BN192)</f>
        <v>#DIV/0!</v>
      </c>
      <c r="BP192" s="69" t="e">
        <f>BD192-(1.96*BO192)</f>
        <v>#DIV/0!</v>
      </c>
      <c r="BQ192" s="69" t="e">
        <f>BD192+(1.96*BO192)</f>
        <v>#DIV/0!</v>
      </c>
      <c r="BR192" s="69"/>
      <c r="BS192" s="80" t="e">
        <f>EXP(BP192)</f>
        <v>#DIV/0!</v>
      </c>
      <c r="BT192" s="80" t="e">
        <f>EXP(BQ192)</f>
        <v>#DIV/0!</v>
      </c>
      <c r="BU192" s="83" t="e">
        <f>BA192</f>
        <v>#DIV/0!</v>
      </c>
      <c r="BV192" s="83" t="e">
        <f>(BS192-1)/BS192</f>
        <v>#DIV/0!</v>
      </c>
      <c r="BW192" s="83" t="e">
        <f>(BT192-1)/BT192</f>
        <v>#DIV/0!</v>
      </c>
    </row>
    <row r="193" spans="2:256" ht="13.5" hidden="1" thickBot="1">
      <c r="C193" s="84"/>
      <c r="D193" s="84"/>
      <c r="E193" s="84"/>
      <c r="F193" s="84"/>
      <c r="G193" s="84"/>
      <c r="H193" s="84"/>
      <c r="I193" s="85"/>
      <c r="R193" s="86"/>
      <c r="S193" s="86"/>
      <c r="T193" s="86"/>
      <c r="U193" s="86"/>
      <c r="V193" s="86"/>
      <c r="W193" s="86"/>
      <c r="X193" s="86"/>
      <c r="AB193" s="87"/>
      <c r="AC193" s="88"/>
      <c r="AD193" s="89"/>
      <c r="AE193" s="88"/>
      <c r="AF193" s="90"/>
      <c r="AG193" s="90"/>
      <c r="AH193" s="90"/>
      <c r="AI193" s="90"/>
      <c r="AT193" s="91"/>
      <c r="AU193" s="91"/>
      <c r="AV193" s="91"/>
      <c r="AX193" s="5" t="s">
        <v>59</v>
      </c>
      <c r="BG193" s="10"/>
      <c r="BN193" s="88" t="s">
        <v>60</v>
      </c>
      <c r="BT193" s="92" t="s">
        <v>61</v>
      </c>
      <c r="BU193" s="495" t="e">
        <f>BU192</f>
        <v>#DIV/0!</v>
      </c>
      <c r="BV193" s="495" t="e">
        <f>IF(BV192&lt;0,"0%",BV192)</f>
        <v>#DIV/0!</v>
      </c>
      <c r="BW193" s="496" t="e">
        <f>IF(BW192&lt;0,"0%",BW192)</f>
        <v>#DIV/0!</v>
      </c>
    </row>
    <row r="194" spans="2:256" ht="26.5" hidden="1" thickBot="1">
      <c r="B194" s="5"/>
      <c r="C194" s="93"/>
      <c r="D194" s="93"/>
      <c r="E194" s="93"/>
      <c r="F194" s="93"/>
      <c r="G194" s="93"/>
      <c r="H194" s="93"/>
      <c r="I194" s="94"/>
      <c r="J194" s="5"/>
      <c r="K194" s="5"/>
      <c r="L194" s="5"/>
      <c r="R194" s="95"/>
      <c r="S194" s="95"/>
      <c r="T194" s="95"/>
      <c r="U194" s="95"/>
      <c r="V194" s="95"/>
      <c r="W194" s="95"/>
      <c r="X194" s="95"/>
      <c r="AF194" s="1"/>
      <c r="AI194" s="10"/>
      <c r="AJ194" s="96"/>
      <c r="AK194" s="96"/>
      <c r="AL194" s="97"/>
      <c r="AM194" s="98"/>
      <c r="AO194" s="99" t="s">
        <v>62</v>
      </c>
      <c r="AP194" s="100">
        <f>TINV((1-$H$1),(AB192-2))</f>
        <v>12.706204736174694</v>
      </c>
      <c r="AR194" s="497" t="s">
        <v>63</v>
      </c>
      <c r="AS194" s="101">
        <f>$H$1</f>
        <v>0.95</v>
      </c>
      <c r="AT194" s="498" t="e">
        <f>EXP(AM192-AP194*SQRT((1/AD192)+AH192))</f>
        <v>#DIV/0!</v>
      </c>
      <c r="AU194" s="498" t="e">
        <f>EXP(AM192+AP194*SQRT((1/AD192)+AH192))</f>
        <v>#DIV/0!</v>
      </c>
      <c r="AV194" s="16"/>
      <c r="AX194" s="102" t="e">
        <f>_xlfn.CHISQ.DIST.RT(AX192,AY192-1)</f>
        <v>#DIV/0!</v>
      </c>
      <c r="AY194" s="103" t="e">
        <f>IF(AX194&lt;0.05,"heterogeneidad","homogeneidad")</f>
        <v>#DIV/0!</v>
      </c>
      <c r="BF194" s="104"/>
      <c r="BG194" s="10"/>
      <c r="BH194" s="10"/>
      <c r="BJ194" s="43"/>
      <c r="BL194" s="10"/>
      <c r="BM194" s="105"/>
      <c r="BQ194" s="10"/>
    </row>
    <row r="195" spans="2:256" ht="14.5" hidden="1">
      <c r="C195" s="84"/>
      <c r="D195" s="84"/>
      <c r="E195" s="84"/>
      <c r="F195" s="84"/>
      <c r="G195" s="84"/>
      <c r="H195" s="84"/>
      <c r="I195" s="85"/>
      <c r="R195" s="95"/>
      <c r="S195" s="95"/>
      <c r="T195" s="95"/>
      <c r="U195" s="95"/>
      <c r="V195" s="95"/>
      <c r="W195" s="95"/>
      <c r="X195" s="95"/>
      <c r="AF195" s="1"/>
      <c r="AI195" s="10"/>
      <c r="AJ195" s="96"/>
      <c r="AK195" s="96"/>
      <c r="AL195" s="97"/>
      <c r="AM195" s="98"/>
      <c r="AN195" s="106"/>
      <c r="AO195" s="107"/>
      <c r="AP195" s="13"/>
      <c r="AS195" s="108"/>
      <c r="AT195" s="16"/>
      <c r="AU195" s="16"/>
      <c r="AV195" s="16"/>
      <c r="BF195" s="104"/>
      <c r="BG195" s="10"/>
      <c r="BH195" s="10"/>
      <c r="BJ195" s="43"/>
      <c r="BL195" s="10"/>
      <c r="BM195" s="109"/>
      <c r="BQ195" s="10"/>
    </row>
    <row r="196" spans="2:256" ht="13" hidden="1" customHeight="1">
      <c r="C196" s="84"/>
      <c r="D196" s="84"/>
      <c r="E196" s="84"/>
      <c r="F196" s="84"/>
      <c r="G196" s="84"/>
      <c r="H196" s="84"/>
      <c r="I196" s="85"/>
      <c r="J196" s="668" t="s">
        <v>4</v>
      </c>
      <c r="K196" s="669"/>
      <c r="L196" s="669"/>
      <c r="M196" s="669"/>
      <c r="N196" s="669"/>
      <c r="O196" s="669"/>
      <c r="P196" s="669"/>
      <c r="Q196" s="669"/>
      <c r="R196" s="669"/>
      <c r="S196" s="669"/>
      <c r="T196" s="669"/>
      <c r="U196" s="669"/>
      <c r="V196" s="669"/>
      <c r="W196" s="670"/>
      <c r="X196" s="11"/>
      <c r="Y196" s="668" t="s">
        <v>5</v>
      </c>
      <c r="Z196" s="669"/>
      <c r="AA196" s="669"/>
      <c r="AB196" s="669"/>
      <c r="AC196" s="669"/>
      <c r="AD196" s="669"/>
      <c r="AE196" s="669"/>
      <c r="AF196" s="669"/>
      <c r="AG196" s="669"/>
      <c r="AH196" s="669"/>
      <c r="AI196" s="669"/>
      <c r="AJ196" s="669"/>
      <c r="AK196" s="669"/>
      <c r="AL196" s="669"/>
      <c r="AM196" s="669"/>
      <c r="AN196" s="669"/>
      <c r="AO196" s="669"/>
      <c r="AP196" s="669"/>
      <c r="AQ196" s="669"/>
      <c r="AR196" s="669"/>
      <c r="AS196" s="669"/>
      <c r="AT196" s="669"/>
      <c r="AU196" s="670"/>
      <c r="AV196" s="11"/>
      <c r="AW196" s="668" t="s">
        <v>232</v>
      </c>
      <c r="AX196" s="669"/>
      <c r="AY196" s="669"/>
      <c r="AZ196" s="669"/>
      <c r="BA196" s="669"/>
      <c r="BB196" s="669"/>
      <c r="BC196" s="669"/>
      <c r="BD196" s="669"/>
      <c r="BE196" s="669"/>
      <c r="BF196" s="669"/>
      <c r="BG196" s="669"/>
      <c r="BH196" s="669"/>
      <c r="BI196" s="669"/>
      <c r="BJ196" s="669"/>
      <c r="BK196" s="669"/>
      <c r="BL196" s="669"/>
      <c r="BM196" s="669"/>
      <c r="BN196" s="669"/>
      <c r="BO196" s="669"/>
      <c r="BP196" s="669"/>
      <c r="BQ196" s="669"/>
      <c r="BR196" s="669"/>
      <c r="BS196" s="669"/>
      <c r="BT196" s="669"/>
      <c r="BU196" s="669"/>
      <c r="BV196" s="669"/>
      <c r="BW196" s="670"/>
    </row>
    <row r="197" spans="2:256" hidden="1">
      <c r="B197" s="12" t="s">
        <v>6</v>
      </c>
      <c r="C197" s="677" t="s">
        <v>7</v>
      </c>
      <c r="D197" s="677"/>
      <c r="E197" s="677"/>
      <c r="F197" s="677" t="s">
        <v>8</v>
      </c>
      <c r="G197" s="677"/>
      <c r="H197" s="677"/>
      <c r="I197" s="13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2:256" ht="60" hidden="1">
      <c r="B198" s="503"/>
      <c r="C198" s="15" t="s">
        <v>9</v>
      </c>
      <c r="D198" s="15" t="s">
        <v>10</v>
      </c>
      <c r="E198" s="15" t="s">
        <v>11</v>
      </c>
      <c r="F198" s="15" t="s">
        <v>9</v>
      </c>
      <c r="G198" s="15" t="s">
        <v>10</v>
      </c>
      <c r="H198" s="15" t="s">
        <v>11</v>
      </c>
      <c r="I198" s="16"/>
      <c r="K198" s="17" t="s">
        <v>12</v>
      </c>
      <c r="L198" s="17" t="s">
        <v>13</v>
      </c>
      <c r="M198" s="17" t="s">
        <v>14</v>
      </c>
      <c r="N198" s="18" t="s">
        <v>15</v>
      </c>
      <c r="O198" s="18" t="s">
        <v>16</v>
      </c>
      <c r="P198" s="18" t="s">
        <v>17</v>
      </c>
      <c r="Q198" s="486" t="s">
        <v>18</v>
      </c>
      <c r="R198" s="486" t="s">
        <v>19</v>
      </c>
      <c r="S198" s="487" t="s">
        <v>3</v>
      </c>
      <c r="T198" s="486" t="s">
        <v>20</v>
      </c>
      <c r="U198" s="486" t="s">
        <v>21</v>
      </c>
      <c r="V198" s="486" t="s">
        <v>22</v>
      </c>
      <c r="W198" s="486" t="s">
        <v>22</v>
      </c>
      <c r="X198" s="19"/>
      <c r="Y198" s="20"/>
      <c r="Z198" s="21" t="s">
        <v>23</v>
      </c>
      <c r="AA198" s="18" t="s">
        <v>24</v>
      </c>
      <c r="AB198" s="3" t="s">
        <v>25</v>
      </c>
      <c r="AC198" s="3" t="s">
        <v>26</v>
      </c>
      <c r="AD198" s="3" t="s">
        <v>27</v>
      </c>
      <c r="AE198" s="18" t="s">
        <v>28</v>
      </c>
      <c r="AF198" s="18" t="s">
        <v>29</v>
      </c>
      <c r="AG198" s="22" t="s">
        <v>30</v>
      </c>
      <c r="AH198" s="22" t="s">
        <v>31</v>
      </c>
      <c r="AI198" s="3" t="s">
        <v>32</v>
      </c>
      <c r="AJ198" s="18" t="s">
        <v>33</v>
      </c>
      <c r="AK198" s="18" t="s">
        <v>34</v>
      </c>
      <c r="AL198" s="18" t="s">
        <v>35</v>
      </c>
      <c r="AM198" s="3" t="s">
        <v>36</v>
      </c>
      <c r="AN198" s="487" t="s">
        <v>37</v>
      </c>
      <c r="AO198" s="18" t="s">
        <v>38</v>
      </c>
      <c r="AP198" s="18" t="s">
        <v>39</v>
      </c>
      <c r="AQ198" s="3" t="s">
        <v>3</v>
      </c>
      <c r="AR198" s="18" t="s">
        <v>40</v>
      </c>
      <c r="AS198" s="18" t="s">
        <v>41</v>
      </c>
      <c r="AT198" s="486" t="s">
        <v>22</v>
      </c>
      <c r="AU198" s="486" t="s">
        <v>22</v>
      </c>
      <c r="AV198" s="19"/>
      <c r="AX198" s="23" t="s">
        <v>42</v>
      </c>
      <c r="AY198" s="23" t="s">
        <v>25</v>
      </c>
      <c r="AZ198" s="24" t="s">
        <v>64</v>
      </c>
      <c r="BA198" s="25" t="s">
        <v>65</v>
      </c>
      <c r="BC198" s="3" t="s">
        <v>66</v>
      </c>
      <c r="BD198" s="3" t="s">
        <v>67</v>
      </c>
      <c r="BE198" s="3" t="s">
        <v>43</v>
      </c>
      <c r="BF198" s="3" t="s">
        <v>44</v>
      </c>
      <c r="BG198" s="3" t="s">
        <v>45</v>
      </c>
      <c r="BH198" s="3" t="s">
        <v>46</v>
      </c>
      <c r="BI198" s="3" t="s">
        <v>47</v>
      </c>
      <c r="BJ198" s="3" t="s">
        <v>68</v>
      </c>
      <c r="BK198" s="3" t="s">
        <v>48</v>
      </c>
      <c r="BL198" s="3" t="s">
        <v>49</v>
      </c>
      <c r="BM198" s="26" t="s">
        <v>69</v>
      </c>
      <c r="BN198" s="26" t="s">
        <v>70</v>
      </c>
      <c r="BO198" s="26" t="s">
        <v>71</v>
      </c>
      <c r="BP198" s="26" t="s">
        <v>72</v>
      </c>
      <c r="BQ198" s="26" t="s">
        <v>73</v>
      </c>
      <c r="BR198" s="27"/>
      <c r="BS198" s="18" t="s">
        <v>74</v>
      </c>
      <c r="BT198" s="18" t="s">
        <v>75</v>
      </c>
      <c r="BU198" s="486" t="s">
        <v>229</v>
      </c>
      <c r="BV198" s="486" t="s">
        <v>230</v>
      </c>
      <c r="BW198" s="486" t="s">
        <v>231</v>
      </c>
    </row>
    <row r="199" spans="2:256" hidden="1">
      <c r="B199" s="28" t="s">
        <v>50</v>
      </c>
      <c r="C199" s="29"/>
      <c r="D199" s="30">
        <f>E199-C199</f>
        <v>0</v>
      </c>
      <c r="E199" s="31"/>
      <c r="F199" s="29"/>
      <c r="G199" s="30">
        <f>H199-F199</f>
        <v>0</v>
      </c>
      <c r="H199" s="31"/>
      <c r="I199" s="32"/>
      <c r="K199" s="33" t="e">
        <f>(C199/E199)/(F199/H199)</f>
        <v>#DIV/0!</v>
      </c>
      <c r="L199" s="34" t="e">
        <f>(D199/(C199*E199)+(G199/(F199*H199)))</f>
        <v>#DIV/0!</v>
      </c>
      <c r="M199" s="35" t="e">
        <f>1/L199</f>
        <v>#DIV/0!</v>
      </c>
      <c r="N199" s="36" t="e">
        <f>LN(K199)</f>
        <v>#DIV/0!</v>
      </c>
      <c r="O199" s="36" t="e">
        <f>M199*N199</f>
        <v>#DIV/0!</v>
      </c>
      <c r="P199" s="36" t="e">
        <f>LN(K199)</f>
        <v>#DIV/0!</v>
      </c>
      <c r="Q199" s="110" t="e">
        <f>K199</f>
        <v>#DIV/0!</v>
      </c>
      <c r="R199" s="38" t="e">
        <f>SQRT(1/M199)</f>
        <v>#DIV/0!</v>
      </c>
      <c r="S199" s="39">
        <f>$H$2</f>
        <v>1.9599639845400536</v>
      </c>
      <c r="T199" s="40" t="e">
        <f>P199-(R199*S199)</f>
        <v>#DIV/0!</v>
      </c>
      <c r="U199" s="40" t="e">
        <f>P199+(R199*S199)</f>
        <v>#DIV/0!</v>
      </c>
      <c r="V199" s="41" t="e">
        <f t="shared" ref="V199:W201" si="406">EXP(T199)</f>
        <v>#DIV/0!</v>
      </c>
      <c r="W199" s="42" t="e">
        <f t="shared" si="406"/>
        <v>#DIV/0!</v>
      </c>
      <c r="X199" s="43"/>
      <c r="Z199" s="44" t="e">
        <f>(N199-P201)^2</f>
        <v>#DIV/0!</v>
      </c>
      <c r="AA199" s="45" t="e">
        <f>M199*Z199</f>
        <v>#DIV/0!</v>
      </c>
      <c r="AB199" s="2">
        <v>1</v>
      </c>
      <c r="AC199" s="27"/>
      <c r="AD199" s="27"/>
      <c r="AE199" s="35" t="e">
        <f>M199^2</f>
        <v>#DIV/0!</v>
      </c>
      <c r="AF199" s="46"/>
      <c r="AG199" s="47" t="e">
        <f>AG201</f>
        <v>#DIV/0!</v>
      </c>
      <c r="AH199" s="47" t="e">
        <f>AH201</f>
        <v>#DIV/0!</v>
      </c>
      <c r="AI199" s="45" t="e">
        <f>1/M199</f>
        <v>#DIV/0!</v>
      </c>
      <c r="AJ199" s="48" t="e">
        <f>1/(AH199+AI199)</f>
        <v>#DIV/0!</v>
      </c>
      <c r="AK199" s="49" t="e">
        <f>AJ199/AJ201</f>
        <v>#DIV/0!</v>
      </c>
      <c r="AL199" s="50" t="e">
        <f>AJ199*N199</f>
        <v>#DIV/0!</v>
      </c>
      <c r="AM199" s="50" t="e">
        <f>AL199/AJ199</f>
        <v>#DIV/0!</v>
      </c>
      <c r="AN199" s="42" t="e">
        <f>EXP(AM199)</f>
        <v>#DIV/0!</v>
      </c>
      <c r="AO199" s="51" t="e">
        <f>1/AJ199</f>
        <v>#DIV/0!</v>
      </c>
      <c r="AP199" s="42" t="e">
        <f>SQRT(AO199)</f>
        <v>#DIV/0!</v>
      </c>
      <c r="AQ199" s="39">
        <f>$H$2</f>
        <v>1.9599639845400536</v>
      </c>
      <c r="AR199" s="40" t="e">
        <f>AM199-(AQ199*AP199)</f>
        <v>#DIV/0!</v>
      </c>
      <c r="AS199" s="40" t="e">
        <f>AM199+(1.96*AP199)</f>
        <v>#DIV/0!</v>
      </c>
      <c r="AT199" s="52" t="e">
        <f t="shared" ref="AT199:AU201" si="407">EXP(AR199)</f>
        <v>#DIV/0!</v>
      </c>
      <c r="AU199" s="52" t="e">
        <f t="shared" si="407"/>
        <v>#DIV/0!</v>
      </c>
      <c r="AV199" s="16"/>
      <c r="AX199" s="53"/>
      <c r="AY199" s="53">
        <v>1</v>
      </c>
      <c r="AZ199" s="54"/>
      <c r="BA199" s="54"/>
      <c r="BC199" s="27"/>
      <c r="BD199" s="27"/>
      <c r="BE199" s="2"/>
      <c r="BF199" s="2"/>
      <c r="BG199" s="2"/>
      <c r="BH199" s="2"/>
      <c r="BI199" s="2"/>
      <c r="BJ199" s="2"/>
      <c r="BK199" s="2"/>
      <c r="BL199" s="2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</row>
    <row r="200" spans="2:256" hidden="1">
      <c r="B200" s="28" t="s">
        <v>51</v>
      </c>
      <c r="C200" s="29"/>
      <c r="D200" s="30">
        <f>E200-C200</f>
        <v>0</v>
      </c>
      <c r="E200" s="31"/>
      <c r="F200" s="29"/>
      <c r="G200" s="30">
        <f>H200-F200</f>
        <v>0</v>
      </c>
      <c r="H200" s="31"/>
      <c r="I200" s="32"/>
      <c r="K200" s="33" t="e">
        <f>(C200/E200)/(F200/H200)</f>
        <v>#DIV/0!</v>
      </c>
      <c r="L200" s="34" t="e">
        <f>(D200/(C200*E200)+(G200/(F200*H200)))</f>
        <v>#DIV/0!</v>
      </c>
      <c r="M200" s="35" t="e">
        <f>1/L200</f>
        <v>#DIV/0!</v>
      </c>
      <c r="N200" s="36" t="e">
        <f>LN(K200)</f>
        <v>#DIV/0!</v>
      </c>
      <c r="O200" s="36" t="e">
        <f>M200*N200</f>
        <v>#DIV/0!</v>
      </c>
      <c r="P200" s="36" t="e">
        <f>LN(K200)</f>
        <v>#DIV/0!</v>
      </c>
      <c r="Q200" s="110" t="e">
        <f>K200</f>
        <v>#DIV/0!</v>
      </c>
      <c r="R200" s="38" t="e">
        <f>SQRT(1/M200)</f>
        <v>#DIV/0!</v>
      </c>
      <c r="S200" s="39">
        <f>$H$2</f>
        <v>1.9599639845400536</v>
      </c>
      <c r="T200" s="40" t="e">
        <f>P200-(R200*S200)</f>
        <v>#DIV/0!</v>
      </c>
      <c r="U200" s="40" t="e">
        <f>P200+(R200*S200)</f>
        <v>#DIV/0!</v>
      </c>
      <c r="V200" s="41" t="e">
        <f t="shared" si="406"/>
        <v>#DIV/0!</v>
      </c>
      <c r="W200" s="42" t="e">
        <f t="shared" si="406"/>
        <v>#DIV/0!</v>
      </c>
      <c r="X200" s="43"/>
      <c r="Z200" s="44" t="e">
        <f>(N200-P201)^2</f>
        <v>#DIV/0!</v>
      </c>
      <c r="AA200" s="45" t="e">
        <f>M200*Z200</f>
        <v>#DIV/0!</v>
      </c>
      <c r="AB200" s="2">
        <v>1</v>
      </c>
      <c r="AC200" s="27"/>
      <c r="AD200" s="27"/>
      <c r="AE200" s="35" t="e">
        <f>M200^2</f>
        <v>#DIV/0!</v>
      </c>
      <c r="AF200" s="46"/>
      <c r="AG200" s="47" t="e">
        <f>AG201</f>
        <v>#DIV/0!</v>
      </c>
      <c r="AH200" s="47" t="e">
        <f>AH201</f>
        <v>#DIV/0!</v>
      </c>
      <c r="AI200" s="45" t="e">
        <f>1/M200</f>
        <v>#DIV/0!</v>
      </c>
      <c r="AJ200" s="48" t="e">
        <f>1/(AH200+AI200)</f>
        <v>#DIV/0!</v>
      </c>
      <c r="AK200" s="49" t="e">
        <f>AJ200/AJ201</f>
        <v>#DIV/0!</v>
      </c>
      <c r="AL200" s="50" t="e">
        <f>AJ200*N200</f>
        <v>#DIV/0!</v>
      </c>
      <c r="AM200" s="50" t="e">
        <f>AL200/AJ200</f>
        <v>#DIV/0!</v>
      </c>
      <c r="AN200" s="42" t="e">
        <f>EXP(AM200)</f>
        <v>#DIV/0!</v>
      </c>
      <c r="AO200" s="51" t="e">
        <f>1/AJ200</f>
        <v>#DIV/0!</v>
      </c>
      <c r="AP200" s="42" t="e">
        <f>SQRT(AO200)</f>
        <v>#DIV/0!</v>
      </c>
      <c r="AQ200" s="39">
        <f>$H$2</f>
        <v>1.9599639845400536</v>
      </c>
      <c r="AR200" s="40" t="e">
        <f>AM200-(AQ200*AP200)</f>
        <v>#DIV/0!</v>
      </c>
      <c r="AS200" s="40" t="e">
        <f>AM200+(1.96*AP200)</f>
        <v>#DIV/0!</v>
      </c>
      <c r="AT200" s="52" t="e">
        <f t="shared" si="407"/>
        <v>#DIV/0!</v>
      </c>
      <c r="AU200" s="52" t="e">
        <f t="shared" si="407"/>
        <v>#DIV/0!</v>
      </c>
      <c r="AV200" s="16"/>
      <c r="AX200" s="53"/>
      <c r="AY200" s="53">
        <v>1</v>
      </c>
      <c r="AZ200" s="54"/>
      <c r="BA200" s="54"/>
      <c r="BC200" s="27"/>
      <c r="BD200" s="27"/>
      <c r="BE200" s="2"/>
      <c r="BF200" s="2"/>
      <c r="BG200" s="2"/>
      <c r="BH200" s="2"/>
      <c r="BI200" s="2"/>
      <c r="BJ200" s="2"/>
      <c r="BK200" s="2"/>
      <c r="BL200" s="2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</row>
    <row r="201" spans="2:256" hidden="1">
      <c r="B201" s="55">
        <f>COUNT(D199:D200)</f>
        <v>2</v>
      </c>
      <c r="C201" s="56">
        <f t="shared" ref="C201:H201" si="408">SUM(C199:C200)</f>
        <v>0</v>
      </c>
      <c r="D201" s="56">
        <f t="shared" si="408"/>
        <v>0</v>
      </c>
      <c r="E201" s="56">
        <f t="shared" si="408"/>
        <v>0</v>
      </c>
      <c r="F201" s="56">
        <f t="shared" si="408"/>
        <v>0</v>
      </c>
      <c r="G201" s="56">
        <f t="shared" si="408"/>
        <v>0</v>
      </c>
      <c r="H201" s="56">
        <f t="shared" si="408"/>
        <v>0</v>
      </c>
      <c r="I201" s="57"/>
      <c r="K201" s="58"/>
      <c r="L201" s="59"/>
      <c r="M201" s="60" t="e">
        <f>SUM(M199:M200)</f>
        <v>#DIV/0!</v>
      </c>
      <c r="N201" s="61"/>
      <c r="O201" s="62" t="e">
        <f>SUM(O199:O200)</f>
        <v>#DIV/0!</v>
      </c>
      <c r="P201" s="63" t="e">
        <f>O201/M201</f>
        <v>#DIV/0!</v>
      </c>
      <c r="Q201" s="488" t="e">
        <f>EXP(P201)</f>
        <v>#DIV/0!</v>
      </c>
      <c r="R201" s="488" t="e">
        <f>SQRT(1/M201)</f>
        <v>#DIV/0!</v>
      </c>
      <c r="S201" s="489">
        <f>$H$2</f>
        <v>1.9599639845400536</v>
      </c>
      <c r="T201" s="490" t="e">
        <f>P201-(R201*S201)</f>
        <v>#DIV/0!</v>
      </c>
      <c r="U201" s="490" t="e">
        <f>P201+(R201*S201)</f>
        <v>#DIV/0!</v>
      </c>
      <c r="V201" s="491" t="e">
        <f t="shared" si="406"/>
        <v>#DIV/0!</v>
      </c>
      <c r="W201" s="492" t="e">
        <f t="shared" si="406"/>
        <v>#DIV/0!</v>
      </c>
      <c r="X201" s="65"/>
      <c r="Y201" s="65"/>
      <c r="Z201" s="66"/>
      <c r="AA201" s="67" t="e">
        <f>SUM(AA199:AA200)</f>
        <v>#DIV/0!</v>
      </c>
      <c r="AB201" s="68">
        <f>SUM(AB199:AB200)</f>
        <v>2</v>
      </c>
      <c r="AC201" s="69" t="e">
        <f>AA201-(AB201-1)</f>
        <v>#DIV/0!</v>
      </c>
      <c r="AD201" s="60" t="e">
        <f>M201</f>
        <v>#DIV/0!</v>
      </c>
      <c r="AE201" s="60" t="e">
        <f>SUM(AE199:AE200)</f>
        <v>#DIV/0!</v>
      </c>
      <c r="AF201" s="70" t="e">
        <f>AE201/AD201</f>
        <v>#DIV/0!</v>
      </c>
      <c r="AG201" s="71" t="e">
        <f>AC201/(AD201-AF201)</f>
        <v>#DIV/0!</v>
      </c>
      <c r="AH201" s="71" t="e">
        <f>IF(AA201&lt;AB201-1,"0",AG201)</f>
        <v>#DIV/0!</v>
      </c>
      <c r="AI201" s="66"/>
      <c r="AJ201" s="60" t="e">
        <f>SUM(AJ199:AJ200)</f>
        <v>#DIV/0!</v>
      </c>
      <c r="AK201" s="72" t="e">
        <f>SUM(AK199:AK200)</f>
        <v>#DIV/0!</v>
      </c>
      <c r="AL201" s="69" t="e">
        <f>SUM(AL199:AL200)</f>
        <v>#DIV/0!</v>
      </c>
      <c r="AM201" s="69" t="e">
        <f>AL201/AJ201</f>
        <v>#DIV/0!</v>
      </c>
      <c r="AN201" s="493" t="e">
        <f>EXP(AM201)</f>
        <v>#DIV/0!</v>
      </c>
      <c r="AO201" s="73" t="e">
        <f>1/AJ201</f>
        <v>#DIV/0!</v>
      </c>
      <c r="AP201" s="74" t="e">
        <f>SQRT(AO201)</f>
        <v>#DIV/0!</v>
      </c>
      <c r="AQ201" s="39">
        <f>$H$2</f>
        <v>1.9599639845400536</v>
      </c>
      <c r="AR201" s="64" t="e">
        <f>AM201-(AQ201*AP201)</f>
        <v>#DIV/0!</v>
      </c>
      <c r="AS201" s="64" t="e">
        <f>AM201+(1.96*AP201)</f>
        <v>#DIV/0!</v>
      </c>
      <c r="AT201" s="494" t="e">
        <f t="shared" si="407"/>
        <v>#DIV/0!</v>
      </c>
      <c r="AU201" s="494" t="e">
        <f t="shared" si="407"/>
        <v>#DIV/0!</v>
      </c>
      <c r="AV201" s="75"/>
      <c r="AW201" s="76"/>
      <c r="AX201" s="77" t="e">
        <f>AA201</f>
        <v>#DIV/0!</v>
      </c>
      <c r="AY201" s="55">
        <f>SUM(AY199:AY200)</f>
        <v>2</v>
      </c>
      <c r="AZ201" s="78" t="e">
        <f>(AX201-(AY201-1))/AX201</f>
        <v>#DIV/0!</v>
      </c>
      <c r="BA201" s="79" t="e">
        <f>IF(AA201&lt;AB201-1,"0%",AZ201)</f>
        <v>#DIV/0!</v>
      </c>
      <c r="BB201" s="76"/>
      <c r="BC201" s="62" t="e">
        <f>AX201/(AY201-1)</f>
        <v>#DIV/0!</v>
      </c>
      <c r="BD201" s="80" t="e">
        <f>LN(BC201)</f>
        <v>#DIV/0!</v>
      </c>
      <c r="BE201" s="62" t="e">
        <f>LN(AX201)</f>
        <v>#DIV/0!</v>
      </c>
      <c r="BF201" s="62">
        <f>LN(AY201-1)</f>
        <v>0</v>
      </c>
      <c r="BG201" s="62" t="e">
        <f>SQRT(2*AX201)</f>
        <v>#DIV/0!</v>
      </c>
      <c r="BH201" s="62">
        <f>SQRT(2*AY201-3)</f>
        <v>1</v>
      </c>
      <c r="BI201" s="62">
        <f>2*(AY201-2)</f>
        <v>0</v>
      </c>
      <c r="BJ201" s="62">
        <f>3*(AY201-2)^2</f>
        <v>0</v>
      </c>
      <c r="BK201" s="62" t="e">
        <f>1/BI201</f>
        <v>#DIV/0!</v>
      </c>
      <c r="BL201" s="81" t="e">
        <f>1/BJ201</f>
        <v>#DIV/0!</v>
      </c>
      <c r="BM201" s="81" t="e">
        <f>SQRT(BK201*(1-BL201))</f>
        <v>#DIV/0!</v>
      </c>
      <c r="BN201" s="82" t="e">
        <f>0.5*(BE201-BF201)/(BG201-BH201)</f>
        <v>#DIV/0!</v>
      </c>
      <c r="BO201" s="82" t="e">
        <f>IF(AA201&lt;=AB201,BM201,BN201)</f>
        <v>#DIV/0!</v>
      </c>
      <c r="BP201" s="69" t="e">
        <f>BD201-(1.96*BO201)</f>
        <v>#DIV/0!</v>
      </c>
      <c r="BQ201" s="69" t="e">
        <f>BD201+(1.96*BO201)</f>
        <v>#DIV/0!</v>
      </c>
      <c r="BR201" s="69"/>
      <c r="BS201" s="80" t="e">
        <f>EXP(BP201)</f>
        <v>#DIV/0!</v>
      </c>
      <c r="BT201" s="80" t="e">
        <f>EXP(BQ201)</f>
        <v>#DIV/0!</v>
      </c>
      <c r="BU201" s="83" t="e">
        <f>BA201</f>
        <v>#DIV/0!</v>
      </c>
      <c r="BV201" s="83" t="e">
        <f>(BS201-1)/BS201</f>
        <v>#DIV/0!</v>
      </c>
      <c r="BW201" s="83" t="e">
        <f>(BT201-1)/BT201</f>
        <v>#DIV/0!</v>
      </c>
    </row>
    <row r="202" spans="2:256" ht="13.5" hidden="1" thickBot="1">
      <c r="C202" s="84"/>
      <c r="D202" s="84"/>
      <c r="E202" s="84"/>
      <c r="F202" s="84"/>
      <c r="G202" s="84"/>
      <c r="H202" s="84"/>
      <c r="I202" s="85"/>
      <c r="R202" s="86"/>
      <c r="S202" s="86"/>
      <c r="T202" s="86"/>
      <c r="U202" s="86"/>
      <c r="V202" s="86"/>
      <c r="W202" s="86"/>
      <c r="X202" s="86"/>
      <c r="AB202" s="87"/>
      <c r="AC202" s="88"/>
      <c r="AD202" s="89"/>
      <c r="AE202" s="88"/>
      <c r="AF202" s="90"/>
      <c r="AG202" s="90"/>
      <c r="AH202" s="90"/>
      <c r="AI202" s="90"/>
      <c r="AT202" s="91"/>
      <c r="AU202" s="91"/>
      <c r="AV202" s="91"/>
      <c r="AX202" s="5" t="s">
        <v>59</v>
      </c>
      <c r="BG202" s="10"/>
      <c r="BN202" s="88" t="s">
        <v>60</v>
      </c>
      <c r="BT202" s="92" t="s">
        <v>61</v>
      </c>
      <c r="BU202" s="495" t="e">
        <f>BU201</f>
        <v>#DIV/0!</v>
      </c>
      <c r="BV202" s="495" t="e">
        <f>IF(BV201&lt;0,"0%",BV201)</f>
        <v>#DIV/0!</v>
      </c>
      <c r="BW202" s="496" t="e">
        <f>IF(BW201&lt;0,"0%",BW201)</f>
        <v>#DIV/0!</v>
      </c>
    </row>
    <row r="203" spans="2:256" ht="27.75" hidden="1" customHeight="1">
      <c r="B203" s="5"/>
      <c r="C203" s="93"/>
      <c r="D203" s="93"/>
      <c r="E203" s="93"/>
      <c r="F203" s="93"/>
      <c r="G203" s="93"/>
      <c r="H203" s="93"/>
      <c r="I203" s="94"/>
      <c r="J203" s="5"/>
      <c r="K203" s="5"/>
      <c r="L203" s="5"/>
      <c r="R203" s="95"/>
      <c r="S203" s="95"/>
      <c r="T203" s="95"/>
      <c r="U203" s="95"/>
      <c r="V203" s="95"/>
      <c r="W203" s="95"/>
      <c r="X203" s="95"/>
      <c r="AF203" s="1"/>
      <c r="AI203" s="10"/>
      <c r="AJ203" s="96"/>
      <c r="AK203" s="96"/>
      <c r="AL203" s="97"/>
      <c r="AM203" s="98"/>
      <c r="AO203" s="551" t="s">
        <v>62</v>
      </c>
      <c r="AP203" s="552" t="e">
        <f>TINV((1-$H$1),(AB201-2))</f>
        <v>#NUM!</v>
      </c>
      <c r="AR203" s="553" t="s">
        <v>63</v>
      </c>
      <c r="AS203" s="554">
        <f>$H$1</f>
        <v>0.95</v>
      </c>
      <c r="AT203" s="555" t="e">
        <f>EXP(AM201-AP203*SQRT((1/AD201)+AH201))</f>
        <v>#DIV/0!</v>
      </c>
      <c r="AU203" s="555" t="e">
        <f>EXP(AM201+AP203*SQRT((1/AD201)+AH201))</f>
        <v>#DIV/0!</v>
      </c>
      <c r="AV203" s="16"/>
      <c r="AX203" s="556" t="e">
        <f>_xlfn.CHISQ.DIST.RT(AX201,AY201-1)</f>
        <v>#DIV/0!</v>
      </c>
      <c r="AY203" s="557" t="e">
        <f>IF(AX203&lt;0.05,"heterogeneidad","homogeneidad")</f>
        <v>#DIV/0!</v>
      </c>
      <c r="BF203" s="104"/>
      <c r="BG203" s="10"/>
      <c r="BH203" s="10"/>
      <c r="BJ203" s="43"/>
      <c r="BL203" s="10"/>
      <c r="BM203" s="105"/>
      <c r="BQ203" s="10"/>
    </row>
    <row r="204" spans="2:256" s="559" customFormat="1" ht="14.5">
      <c r="C204" s="560"/>
      <c r="D204" s="560"/>
      <c r="E204" s="560"/>
      <c r="F204" s="560"/>
      <c r="G204" s="560"/>
      <c r="H204" s="560"/>
      <c r="I204" s="561"/>
      <c r="R204" s="562"/>
      <c r="S204" s="562"/>
      <c r="T204" s="562"/>
      <c r="U204" s="562"/>
      <c r="V204" s="562"/>
      <c r="W204" s="562"/>
      <c r="X204" s="562"/>
      <c r="AI204" s="563"/>
      <c r="AJ204" s="564"/>
      <c r="AK204" s="564"/>
      <c r="AL204" s="565"/>
      <c r="AM204" s="566"/>
      <c r="AN204" s="567"/>
      <c r="AO204" s="568"/>
      <c r="AP204" s="569"/>
      <c r="AS204" s="570"/>
      <c r="AT204" s="571"/>
      <c r="AU204" s="571"/>
      <c r="AV204" s="571"/>
      <c r="BF204" s="572"/>
      <c r="BG204" s="563"/>
      <c r="BH204" s="563"/>
      <c r="BJ204" s="573"/>
      <c r="BL204" s="563"/>
      <c r="BM204" s="574"/>
      <c r="BQ204" s="563"/>
    </row>
    <row r="205" spans="2:256" s="559" customFormat="1">
      <c r="B205" s="575"/>
      <c r="C205" s="576"/>
      <c r="D205" s="576"/>
      <c r="E205" s="560"/>
      <c r="F205" s="560"/>
      <c r="G205" s="560"/>
      <c r="H205" s="560"/>
      <c r="I205" s="561"/>
      <c r="M205" s="577"/>
      <c r="AE205" s="578"/>
    </row>
    <row r="206" spans="2:256" s="559" customFormat="1">
      <c r="B206" s="579"/>
      <c r="C206" s="576"/>
      <c r="D206" s="576"/>
      <c r="E206" s="560"/>
      <c r="F206" s="560"/>
      <c r="G206" s="560"/>
      <c r="H206" s="560"/>
      <c r="I206" s="561"/>
      <c r="AF206" s="580"/>
    </row>
    <row r="207" spans="2:256" s="559" customFormat="1">
      <c r="B207" s="581"/>
      <c r="C207" s="576"/>
      <c r="D207" s="576"/>
      <c r="E207" s="560"/>
      <c r="F207" s="560"/>
      <c r="G207" s="560"/>
      <c r="H207" s="560"/>
      <c r="I207" s="561"/>
      <c r="AF207" s="580"/>
    </row>
    <row r="208" spans="2:256" s="559" customFormat="1">
      <c r="B208" s="581"/>
      <c r="C208" s="576"/>
      <c r="D208" s="576"/>
      <c r="E208" s="560"/>
      <c r="F208" s="560"/>
      <c r="G208" s="560"/>
      <c r="H208" s="560"/>
      <c r="I208" s="561"/>
      <c r="AF208" s="580"/>
    </row>
    <row r="209" spans="2:32" s="559" customFormat="1">
      <c r="B209" s="575"/>
      <c r="C209" s="576"/>
      <c r="D209" s="576"/>
      <c r="E209" s="560"/>
      <c r="F209" s="560"/>
      <c r="G209" s="560"/>
      <c r="H209" s="560"/>
      <c r="I209" s="561"/>
      <c r="AF209" s="580"/>
    </row>
    <row r="210" spans="2:32" s="559" customFormat="1">
      <c r="C210" s="560"/>
      <c r="D210" s="560"/>
      <c r="E210" s="560"/>
      <c r="F210" s="560"/>
      <c r="G210" s="560"/>
      <c r="H210" s="560"/>
      <c r="I210" s="561"/>
      <c r="AF210" s="580"/>
    </row>
    <row r="211" spans="2:32" s="559" customFormat="1">
      <c r="C211" s="560"/>
      <c r="D211" s="560"/>
      <c r="E211" s="560"/>
      <c r="F211" s="560"/>
      <c r="G211" s="560"/>
      <c r="H211" s="560"/>
      <c r="I211" s="561"/>
      <c r="AF211" s="580"/>
    </row>
    <row r="212" spans="2:32" s="559" customFormat="1">
      <c r="B212" s="575"/>
      <c r="C212" s="576"/>
      <c r="D212" s="576"/>
      <c r="E212" s="560"/>
      <c r="F212" s="560"/>
      <c r="G212" s="560"/>
      <c r="H212" s="560"/>
      <c r="I212" s="561"/>
      <c r="AF212" s="580"/>
    </row>
    <row r="213" spans="2:32" s="559" customFormat="1">
      <c r="B213" s="575"/>
      <c r="C213" s="576"/>
      <c r="D213" s="576"/>
      <c r="E213" s="560"/>
      <c r="F213" s="560"/>
      <c r="G213" s="560"/>
      <c r="H213" s="560"/>
      <c r="I213" s="561"/>
      <c r="AF213" s="580"/>
    </row>
    <row r="214" spans="2:32" s="559" customFormat="1">
      <c r="B214" s="575"/>
      <c r="C214" s="576"/>
      <c r="D214" s="576"/>
      <c r="E214" s="560"/>
      <c r="F214" s="560"/>
      <c r="G214" s="560"/>
      <c r="H214" s="560"/>
      <c r="I214" s="561"/>
      <c r="AF214" s="580"/>
    </row>
    <row r="215" spans="2:32" s="559" customFormat="1">
      <c r="B215" s="575"/>
      <c r="C215" s="576"/>
      <c r="D215" s="576"/>
      <c r="E215" s="560"/>
      <c r="F215" s="560"/>
      <c r="G215" s="560"/>
      <c r="H215" s="560"/>
      <c r="I215" s="561"/>
      <c r="AF215" s="580"/>
    </row>
    <row r="216" spans="2:32" s="559" customFormat="1">
      <c r="B216" s="579"/>
      <c r="C216" s="582"/>
      <c r="D216" s="582"/>
      <c r="E216" s="560"/>
      <c r="F216" s="560"/>
      <c r="G216" s="560"/>
      <c r="H216" s="560"/>
      <c r="I216" s="561"/>
      <c r="AF216" s="580"/>
    </row>
    <row r="217" spans="2:32" s="559" customFormat="1" ht="21" customHeight="1">
      <c r="B217" s="575"/>
      <c r="C217" s="576"/>
      <c r="D217" s="576"/>
      <c r="E217" s="560"/>
      <c r="F217" s="560"/>
      <c r="G217" s="560"/>
      <c r="H217" s="560"/>
      <c r="I217" s="561"/>
      <c r="AF217" s="580"/>
    </row>
    <row r="218" spans="2:32" s="559" customFormat="1">
      <c r="B218" s="581"/>
      <c r="C218" s="576"/>
      <c r="D218" s="576"/>
      <c r="E218" s="560"/>
      <c r="F218" s="560"/>
      <c r="G218" s="560"/>
      <c r="H218" s="560"/>
      <c r="I218" s="561"/>
      <c r="AF218" s="580"/>
    </row>
    <row r="219" spans="2:32" s="559" customFormat="1">
      <c r="B219" s="575"/>
      <c r="C219" s="576"/>
      <c r="D219" s="576"/>
      <c r="E219" s="560"/>
      <c r="F219" s="560"/>
      <c r="G219" s="560"/>
      <c r="H219" s="560"/>
      <c r="I219" s="561"/>
      <c r="AF219" s="580"/>
    </row>
    <row r="220" spans="2:32" s="559" customFormat="1">
      <c r="C220" s="560"/>
      <c r="D220" s="560"/>
      <c r="E220" s="560"/>
      <c r="F220" s="560"/>
      <c r="G220" s="560"/>
      <c r="H220" s="560"/>
      <c r="I220" s="561"/>
      <c r="AF220" s="580"/>
    </row>
    <row r="221" spans="2:32" s="559" customFormat="1">
      <c r="C221" s="560"/>
      <c r="D221" s="560"/>
      <c r="E221" s="560"/>
      <c r="F221" s="560"/>
      <c r="G221" s="560"/>
      <c r="H221" s="560"/>
      <c r="I221" s="561"/>
      <c r="AF221" s="580"/>
    </row>
    <row r="222" spans="2:32" s="559" customFormat="1">
      <c r="B222" s="579"/>
      <c r="C222" s="576"/>
      <c r="D222" s="576"/>
      <c r="E222" s="560"/>
      <c r="F222" s="560"/>
      <c r="G222" s="560"/>
      <c r="H222" s="560"/>
      <c r="I222" s="561"/>
      <c r="AF222" s="580"/>
    </row>
    <row r="223" spans="2:32" s="559" customFormat="1">
      <c r="B223" s="581"/>
      <c r="C223" s="576"/>
      <c r="D223" s="576"/>
      <c r="E223" s="560"/>
      <c r="F223" s="560"/>
      <c r="G223" s="560"/>
      <c r="H223" s="560"/>
      <c r="I223" s="561"/>
      <c r="AF223" s="580"/>
    </row>
    <row r="224" spans="2:32" s="559" customFormat="1">
      <c r="B224" s="581"/>
      <c r="C224" s="576"/>
      <c r="D224" s="576"/>
      <c r="E224" s="560"/>
      <c r="F224" s="560"/>
      <c r="G224" s="560"/>
      <c r="H224" s="560"/>
      <c r="I224" s="561"/>
      <c r="AF224" s="580"/>
    </row>
    <row r="225" spans="2:32" s="559" customFormat="1">
      <c r="B225" s="575"/>
      <c r="C225" s="576"/>
      <c r="D225" s="576"/>
      <c r="E225" s="560"/>
      <c r="F225" s="560"/>
      <c r="G225" s="560"/>
      <c r="H225" s="560"/>
      <c r="I225" s="561"/>
      <c r="AF225" s="580"/>
    </row>
    <row r="226" spans="2:32" s="559" customFormat="1">
      <c r="C226" s="560"/>
      <c r="D226" s="560"/>
      <c r="E226" s="560"/>
      <c r="F226" s="560"/>
      <c r="G226" s="560"/>
      <c r="H226" s="560"/>
      <c r="I226" s="561"/>
      <c r="AF226" s="580"/>
    </row>
    <row r="227" spans="2:32" s="559" customFormat="1">
      <c r="C227" s="560"/>
      <c r="D227" s="560"/>
      <c r="E227" s="560"/>
      <c r="F227" s="560"/>
      <c r="G227" s="560"/>
      <c r="H227" s="560"/>
      <c r="I227" s="561"/>
      <c r="AF227" s="580"/>
    </row>
    <row r="228" spans="2:32" s="559" customFormat="1">
      <c r="C228" s="560"/>
      <c r="D228" s="560"/>
      <c r="E228" s="560"/>
      <c r="F228" s="560"/>
      <c r="G228" s="560"/>
      <c r="H228" s="560"/>
      <c r="I228" s="561"/>
      <c r="AF228" s="580"/>
    </row>
    <row r="229" spans="2:32" s="559" customFormat="1">
      <c r="B229" s="575"/>
      <c r="C229" s="576"/>
      <c r="D229" s="576"/>
      <c r="E229" s="560"/>
      <c r="F229" s="560"/>
      <c r="G229" s="560"/>
      <c r="H229" s="560"/>
      <c r="I229" s="561"/>
      <c r="AF229" s="580"/>
    </row>
    <row r="230" spans="2:32" s="559" customFormat="1">
      <c r="B230" s="575"/>
      <c r="C230" s="576"/>
      <c r="D230" s="576"/>
      <c r="E230" s="560"/>
      <c r="F230" s="560"/>
      <c r="G230" s="560"/>
      <c r="H230" s="560"/>
      <c r="I230" s="561"/>
      <c r="AF230" s="580"/>
    </row>
    <row r="231" spans="2:32" s="559" customFormat="1">
      <c r="B231" s="575"/>
      <c r="C231" s="576"/>
      <c r="D231" s="576"/>
      <c r="E231" s="560"/>
      <c r="F231" s="560"/>
      <c r="G231" s="560"/>
      <c r="H231" s="560"/>
      <c r="I231" s="561"/>
      <c r="AF231" s="580"/>
    </row>
    <row r="232" spans="2:32" s="559" customFormat="1">
      <c r="B232" s="575"/>
      <c r="C232" s="576"/>
      <c r="D232" s="576"/>
      <c r="E232" s="560"/>
      <c r="F232" s="560"/>
      <c r="G232" s="560"/>
      <c r="H232" s="560"/>
      <c r="I232" s="561"/>
      <c r="AF232" s="580"/>
    </row>
    <row r="233" spans="2:32" s="559" customFormat="1">
      <c r="B233" s="579"/>
      <c r="C233" s="575"/>
      <c r="D233" s="582"/>
      <c r="E233" s="560"/>
      <c r="F233" s="560"/>
      <c r="G233" s="560"/>
      <c r="H233" s="560"/>
      <c r="I233" s="561"/>
      <c r="AF233" s="580"/>
    </row>
    <row r="234" spans="2:32" s="559" customFormat="1">
      <c r="B234" s="575"/>
      <c r="C234" s="576"/>
      <c r="D234" s="576"/>
      <c r="E234" s="560"/>
      <c r="F234" s="560"/>
      <c r="G234" s="560"/>
      <c r="H234" s="560"/>
      <c r="I234" s="561"/>
      <c r="AF234" s="580"/>
    </row>
    <row r="235" spans="2:32" s="559" customFormat="1">
      <c r="B235" s="581"/>
      <c r="C235" s="576"/>
      <c r="D235" s="576"/>
      <c r="E235" s="560"/>
      <c r="F235" s="560"/>
      <c r="G235" s="560"/>
      <c r="H235" s="560"/>
      <c r="I235" s="561"/>
      <c r="AF235" s="580"/>
    </row>
    <row r="236" spans="2:32" s="559" customFormat="1">
      <c r="B236" s="558"/>
      <c r="C236" s="576"/>
      <c r="D236" s="576"/>
      <c r="E236" s="560"/>
      <c r="F236" s="560"/>
      <c r="G236" s="560"/>
      <c r="H236" s="560"/>
      <c r="I236" s="561"/>
      <c r="AF236" s="580"/>
    </row>
    <row r="237" spans="2:32" s="559" customFormat="1">
      <c r="B237" s="575"/>
      <c r="C237" s="576"/>
      <c r="D237" s="576"/>
      <c r="E237" s="560"/>
      <c r="F237" s="560"/>
      <c r="G237" s="560"/>
      <c r="H237" s="560"/>
      <c r="I237" s="561"/>
      <c r="AF237" s="580"/>
    </row>
    <row r="238" spans="2:32" s="559" customFormat="1" ht="68" customHeight="1">
      <c r="B238" s="575"/>
      <c r="C238" s="576"/>
      <c r="D238" s="576"/>
      <c r="E238" s="560"/>
      <c r="F238" s="560"/>
      <c r="G238" s="560"/>
      <c r="H238" s="560"/>
      <c r="I238" s="561"/>
      <c r="AF238" s="580"/>
    </row>
    <row r="239" spans="2:32" s="559" customFormat="1">
      <c r="C239" s="560"/>
      <c r="D239" s="560"/>
      <c r="E239" s="560"/>
      <c r="F239" s="560"/>
      <c r="G239" s="560"/>
      <c r="H239" s="560"/>
      <c r="I239" s="561"/>
      <c r="AF239" s="580"/>
    </row>
    <row r="240" spans="2:32" s="559" customFormat="1">
      <c r="C240" s="560"/>
      <c r="D240" s="560"/>
      <c r="E240" s="560"/>
      <c r="F240" s="560"/>
      <c r="G240" s="560"/>
      <c r="H240" s="560"/>
      <c r="I240" s="561"/>
      <c r="AF240" s="580"/>
    </row>
    <row r="241" spans="2:32" s="559" customFormat="1">
      <c r="C241" s="560"/>
      <c r="D241" s="560"/>
      <c r="E241" s="560"/>
      <c r="F241" s="560"/>
      <c r="G241" s="560"/>
      <c r="H241" s="560"/>
      <c r="I241" s="561"/>
      <c r="AF241" s="580"/>
    </row>
    <row r="242" spans="2:32" s="559" customFormat="1">
      <c r="C242" s="560"/>
      <c r="D242" s="560"/>
      <c r="E242" s="560"/>
      <c r="F242" s="560"/>
      <c r="G242" s="560"/>
      <c r="H242" s="560"/>
      <c r="I242" s="561"/>
      <c r="AF242" s="580"/>
    </row>
    <row r="243" spans="2:32" s="559" customFormat="1">
      <c r="C243" s="560"/>
      <c r="D243" s="560"/>
      <c r="E243" s="560"/>
      <c r="F243" s="560"/>
      <c r="G243" s="560"/>
      <c r="H243" s="560"/>
      <c r="I243" s="561"/>
      <c r="AF243" s="580"/>
    </row>
    <row r="244" spans="2:32" s="559" customFormat="1">
      <c r="C244" s="560"/>
      <c r="D244" s="560"/>
      <c r="E244" s="560"/>
      <c r="F244" s="560"/>
      <c r="G244" s="560"/>
      <c r="H244" s="560"/>
      <c r="I244" s="561"/>
      <c r="AF244" s="580"/>
    </row>
    <row r="245" spans="2:32" s="559" customFormat="1">
      <c r="C245" s="560"/>
      <c r="D245" s="560"/>
      <c r="E245" s="560"/>
      <c r="F245" s="560"/>
      <c r="G245" s="560"/>
      <c r="H245" s="560"/>
      <c r="I245" s="561"/>
      <c r="AF245" s="580"/>
    </row>
    <row r="246" spans="2:32" s="559" customFormat="1">
      <c r="C246" s="560"/>
      <c r="D246" s="560"/>
      <c r="E246" s="560"/>
      <c r="F246" s="560"/>
      <c r="G246" s="560"/>
      <c r="H246" s="560"/>
      <c r="I246" s="561"/>
      <c r="AF246" s="580"/>
    </row>
    <row r="247" spans="2:32" s="559" customFormat="1">
      <c r="C247" s="560"/>
      <c r="D247" s="560"/>
      <c r="E247" s="560"/>
      <c r="F247" s="560"/>
      <c r="G247" s="560"/>
      <c r="H247" s="560"/>
      <c r="I247" s="561"/>
      <c r="AF247" s="580"/>
    </row>
    <row r="248" spans="2:32" s="559" customFormat="1">
      <c r="C248" s="560"/>
      <c r="D248" s="560"/>
      <c r="E248" s="560"/>
      <c r="F248" s="560"/>
      <c r="G248" s="560"/>
      <c r="H248" s="560"/>
      <c r="I248" s="561"/>
      <c r="AF248" s="580"/>
    </row>
    <row r="249" spans="2:32" s="559" customFormat="1">
      <c r="C249" s="560"/>
      <c r="D249" s="560"/>
      <c r="E249" s="560"/>
      <c r="F249" s="560"/>
      <c r="G249" s="560"/>
      <c r="H249" s="560"/>
      <c r="I249" s="561"/>
      <c r="AF249" s="580"/>
    </row>
    <row r="250" spans="2:32" s="559" customFormat="1">
      <c r="C250" s="560"/>
      <c r="D250" s="560"/>
      <c r="E250" s="560"/>
      <c r="F250" s="560"/>
      <c r="G250" s="560"/>
      <c r="H250" s="560"/>
      <c r="I250" s="561"/>
      <c r="AF250" s="580"/>
    </row>
    <row r="251" spans="2:32" s="559" customFormat="1">
      <c r="C251" s="560"/>
      <c r="D251" s="560"/>
      <c r="E251" s="560"/>
      <c r="F251" s="560"/>
      <c r="G251" s="560"/>
      <c r="H251" s="560"/>
      <c r="I251" s="561"/>
      <c r="AF251" s="580"/>
    </row>
    <row r="252" spans="2:32" s="559" customFormat="1">
      <c r="C252" s="560"/>
      <c r="D252" s="560"/>
      <c r="E252" s="560"/>
      <c r="F252" s="560"/>
      <c r="G252" s="560"/>
      <c r="H252" s="560"/>
      <c r="I252" s="561"/>
      <c r="AF252" s="580"/>
    </row>
    <row r="253" spans="2:32" s="559" customFormat="1">
      <c r="C253" s="560"/>
      <c r="D253" s="560"/>
      <c r="E253" s="560"/>
      <c r="F253" s="560"/>
      <c r="G253" s="560"/>
      <c r="H253" s="560"/>
      <c r="I253" s="561"/>
      <c r="AF253" s="580"/>
    </row>
    <row r="254" spans="2:32" s="559" customFormat="1">
      <c r="C254" s="560"/>
      <c r="D254" s="560"/>
      <c r="E254" s="560"/>
      <c r="F254" s="560"/>
      <c r="G254" s="560"/>
      <c r="H254" s="560"/>
      <c r="I254" s="561"/>
      <c r="AF254" s="580"/>
    </row>
    <row r="255" spans="2:32" s="559" customFormat="1">
      <c r="C255" s="560"/>
      <c r="D255" s="560"/>
      <c r="E255" s="560"/>
      <c r="F255" s="560"/>
      <c r="G255" s="560"/>
      <c r="H255" s="560"/>
      <c r="I255" s="561"/>
      <c r="AF255" s="580"/>
    </row>
    <row r="256" spans="2:32" s="559" customFormat="1">
      <c r="B256" s="575"/>
      <c r="C256" s="576"/>
      <c r="D256" s="576"/>
      <c r="E256" s="560"/>
      <c r="F256" s="560"/>
      <c r="G256" s="560"/>
      <c r="H256" s="560"/>
      <c r="I256" s="561"/>
      <c r="AF256" s="580"/>
    </row>
    <row r="257" spans="2:32" s="559" customFormat="1">
      <c r="B257" s="575"/>
      <c r="C257" s="576"/>
      <c r="D257" s="576"/>
      <c r="E257" s="560"/>
      <c r="F257" s="560"/>
      <c r="G257" s="560"/>
      <c r="H257" s="560"/>
      <c r="I257" s="561"/>
      <c r="AF257" s="580"/>
    </row>
    <row r="258" spans="2:32" s="559" customFormat="1">
      <c r="B258" s="558"/>
      <c r="C258" s="576"/>
      <c r="D258" s="576"/>
      <c r="E258" s="560"/>
      <c r="F258" s="560"/>
      <c r="G258" s="560"/>
      <c r="H258" s="560"/>
      <c r="I258" s="561"/>
      <c r="AF258" s="580"/>
    </row>
    <row r="259" spans="2:32">
      <c r="C259" s="84"/>
      <c r="D259" s="84"/>
      <c r="E259" s="84"/>
      <c r="F259" s="84"/>
      <c r="G259" s="84"/>
      <c r="H259" s="84"/>
      <c r="I259" s="85"/>
    </row>
    <row r="260" spans="2:32">
      <c r="C260" s="84"/>
      <c r="D260" s="84"/>
      <c r="E260" s="84"/>
      <c r="F260" s="84"/>
      <c r="G260" s="84"/>
      <c r="H260" s="84"/>
      <c r="I260" s="85"/>
    </row>
    <row r="261" spans="2:32">
      <c r="C261" s="84"/>
      <c r="D261" s="84"/>
      <c r="E261" s="84"/>
      <c r="F261" s="84"/>
      <c r="G261" s="84"/>
      <c r="H261" s="84"/>
      <c r="I261" s="85"/>
    </row>
    <row r="262" spans="2:32">
      <c r="C262" s="84"/>
      <c r="D262" s="84"/>
      <c r="E262" s="84"/>
      <c r="F262" s="84"/>
      <c r="G262" s="84"/>
      <c r="H262" s="84"/>
      <c r="I262" s="85"/>
    </row>
    <row r="263" spans="2:32">
      <c r="C263" s="84"/>
      <c r="D263" s="84"/>
      <c r="E263" s="84"/>
      <c r="F263" s="84"/>
      <c r="G263" s="84"/>
      <c r="H263" s="84"/>
      <c r="I263" s="85"/>
    </row>
    <row r="264" spans="2:32">
      <c r="C264" s="84"/>
      <c r="D264" s="84"/>
      <c r="E264" s="84"/>
      <c r="F264" s="84"/>
      <c r="G264" s="84"/>
      <c r="H264" s="84"/>
      <c r="I264" s="85"/>
    </row>
    <row r="265" spans="2:32">
      <c r="C265" s="84"/>
      <c r="D265" s="84"/>
      <c r="E265" s="84"/>
      <c r="F265" s="84"/>
      <c r="G265" s="84"/>
      <c r="H265" s="84"/>
      <c r="I265" s="85"/>
    </row>
    <row r="266" spans="2:32">
      <c r="C266" s="85"/>
      <c r="D266" s="85"/>
      <c r="E266" s="85"/>
      <c r="F266" s="85"/>
      <c r="G266" s="85"/>
      <c r="H266" s="85"/>
      <c r="I266" s="85"/>
    </row>
    <row r="267" spans="2:32">
      <c r="C267" s="85"/>
      <c r="D267" s="85"/>
      <c r="E267" s="85"/>
      <c r="F267" s="85"/>
      <c r="G267" s="85"/>
      <c r="H267" s="85"/>
      <c r="I267" s="85"/>
    </row>
    <row r="268" spans="2:32">
      <c r="C268" s="85"/>
      <c r="D268" s="85"/>
      <c r="E268" s="85"/>
      <c r="F268" s="85"/>
      <c r="G268" s="85"/>
      <c r="H268" s="85"/>
      <c r="I268" s="85"/>
    </row>
    <row r="269" spans="2:32">
      <c r="C269" s="85"/>
      <c r="D269" s="85"/>
      <c r="E269" s="85"/>
      <c r="F269" s="85"/>
      <c r="G269" s="85"/>
      <c r="H269" s="85"/>
      <c r="I269" s="85"/>
    </row>
    <row r="270" spans="2:32">
      <c r="C270" s="85"/>
      <c r="D270" s="85"/>
      <c r="E270" s="85"/>
      <c r="F270" s="85"/>
      <c r="G270" s="85"/>
      <c r="H270" s="85"/>
      <c r="I270" s="85"/>
    </row>
    <row r="271" spans="2:32">
      <c r="C271" s="85"/>
      <c r="D271" s="85"/>
      <c r="E271" s="85"/>
      <c r="F271" s="85"/>
      <c r="G271" s="85"/>
      <c r="H271" s="85"/>
      <c r="I271" s="85"/>
    </row>
    <row r="272" spans="2:32">
      <c r="C272" s="85"/>
      <c r="D272" s="85"/>
      <c r="E272" s="85"/>
      <c r="F272" s="85"/>
      <c r="G272" s="85"/>
      <c r="H272" s="85"/>
      <c r="I272" s="85"/>
    </row>
    <row r="273" spans="3:9">
      <c r="C273" s="85"/>
      <c r="D273" s="85"/>
      <c r="E273" s="85"/>
      <c r="F273" s="85"/>
      <c r="G273" s="85"/>
      <c r="H273" s="85"/>
      <c r="I273" s="85"/>
    </row>
    <row r="274" spans="3:9">
      <c r="C274" s="85"/>
      <c r="D274" s="85"/>
      <c r="E274" s="85"/>
      <c r="F274" s="85"/>
      <c r="G274" s="85"/>
      <c r="H274" s="85"/>
      <c r="I274" s="85"/>
    </row>
    <row r="275" spans="3:9">
      <c r="C275" s="85"/>
      <c r="D275" s="85"/>
      <c r="E275" s="85"/>
      <c r="F275" s="85"/>
      <c r="G275" s="85"/>
      <c r="H275" s="85"/>
      <c r="I275" s="85"/>
    </row>
    <row r="276" spans="3:9">
      <c r="C276" s="85"/>
      <c r="D276" s="85"/>
      <c r="E276" s="85"/>
      <c r="F276" s="85"/>
      <c r="G276" s="85"/>
      <c r="H276" s="85"/>
      <c r="I276" s="85"/>
    </row>
    <row r="277" spans="3:9">
      <c r="C277" s="85"/>
      <c r="D277" s="85"/>
      <c r="E277" s="85"/>
      <c r="F277" s="85"/>
      <c r="G277" s="85"/>
      <c r="H277" s="85"/>
      <c r="I277" s="85"/>
    </row>
    <row r="278" spans="3:9">
      <c r="C278" s="85"/>
      <c r="D278" s="85"/>
      <c r="E278" s="85"/>
      <c r="F278" s="85"/>
      <c r="G278" s="85"/>
      <c r="H278" s="85"/>
      <c r="I278" s="85"/>
    </row>
    <row r="279" spans="3:9">
      <c r="C279" s="85"/>
      <c r="D279" s="85"/>
      <c r="E279" s="85"/>
      <c r="F279" s="85"/>
      <c r="G279" s="85"/>
      <c r="H279" s="85"/>
      <c r="I279" s="85"/>
    </row>
    <row r="280" spans="3:9">
      <c r="C280" s="85"/>
      <c r="D280" s="85"/>
      <c r="E280" s="85"/>
      <c r="F280" s="85"/>
      <c r="G280" s="85"/>
      <c r="H280" s="85"/>
      <c r="I280" s="85"/>
    </row>
    <row r="281" spans="3:9">
      <c r="C281" s="85"/>
      <c r="D281" s="85"/>
      <c r="E281" s="85"/>
      <c r="F281" s="85"/>
      <c r="G281" s="85"/>
      <c r="H281" s="85"/>
      <c r="I281" s="85"/>
    </row>
    <row r="282" spans="3:9">
      <c r="C282" s="85"/>
      <c r="D282" s="85"/>
      <c r="E282" s="85"/>
      <c r="F282" s="85"/>
      <c r="G282" s="85"/>
      <c r="H282" s="85"/>
      <c r="I282" s="85"/>
    </row>
    <row r="283" spans="3:9">
      <c r="C283" s="85"/>
      <c r="D283" s="85"/>
      <c r="E283" s="85"/>
      <c r="F283" s="85"/>
      <c r="G283" s="85"/>
      <c r="H283" s="85"/>
      <c r="I283" s="85"/>
    </row>
    <row r="284" spans="3:9">
      <c r="C284" s="85"/>
      <c r="D284" s="85"/>
      <c r="E284" s="85"/>
      <c r="F284" s="85"/>
      <c r="G284" s="85"/>
      <c r="H284" s="85"/>
      <c r="I284" s="85"/>
    </row>
    <row r="285" spans="3:9">
      <c r="C285" s="85"/>
      <c r="D285" s="85"/>
      <c r="E285" s="85"/>
      <c r="F285" s="85"/>
      <c r="G285" s="85"/>
      <c r="H285" s="85"/>
      <c r="I285" s="85"/>
    </row>
    <row r="286" spans="3:9">
      <c r="C286" s="85"/>
      <c r="D286" s="85"/>
      <c r="E286" s="85"/>
      <c r="F286" s="85"/>
      <c r="G286" s="85"/>
      <c r="H286" s="85"/>
      <c r="I286" s="85"/>
    </row>
    <row r="287" spans="3:9">
      <c r="C287" s="85"/>
      <c r="D287" s="85"/>
      <c r="E287" s="85"/>
      <c r="F287" s="85"/>
      <c r="G287" s="85"/>
      <c r="H287" s="85"/>
      <c r="I287" s="85"/>
    </row>
    <row r="288" spans="3:9">
      <c r="C288" s="85"/>
      <c r="D288" s="85"/>
      <c r="E288" s="85"/>
      <c r="F288" s="85"/>
      <c r="G288" s="85"/>
      <c r="H288" s="85"/>
      <c r="I288" s="85"/>
    </row>
    <row r="289" spans="3:9">
      <c r="C289" s="85"/>
      <c r="D289" s="85"/>
      <c r="E289" s="85"/>
      <c r="F289" s="85"/>
      <c r="G289" s="85"/>
      <c r="H289" s="85"/>
      <c r="I289" s="85"/>
    </row>
    <row r="290" spans="3:9">
      <c r="C290" s="85"/>
      <c r="D290" s="85"/>
      <c r="E290" s="85"/>
      <c r="F290" s="85"/>
      <c r="G290" s="85"/>
      <c r="H290" s="85"/>
      <c r="I290" s="85"/>
    </row>
    <row r="291" spans="3:9">
      <c r="C291" s="85"/>
      <c r="D291" s="85"/>
      <c r="E291" s="85"/>
      <c r="F291" s="85"/>
      <c r="G291" s="85"/>
      <c r="H291" s="85"/>
      <c r="I291" s="85"/>
    </row>
    <row r="292" spans="3:9">
      <c r="C292" s="85"/>
      <c r="D292" s="85"/>
      <c r="E292" s="85"/>
      <c r="F292" s="85"/>
      <c r="G292" s="85"/>
      <c r="H292" s="85"/>
      <c r="I292" s="85"/>
    </row>
    <row r="293" spans="3:9">
      <c r="C293" s="85"/>
      <c r="D293" s="85"/>
      <c r="E293" s="85"/>
      <c r="F293" s="85"/>
      <c r="G293" s="85"/>
      <c r="H293" s="85"/>
      <c r="I293" s="85"/>
    </row>
    <row r="294" spans="3:9">
      <c r="C294" s="85"/>
      <c r="D294" s="85"/>
      <c r="E294" s="85"/>
      <c r="F294" s="85"/>
      <c r="G294" s="85"/>
      <c r="H294" s="85"/>
      <c r="I294" s="85"/>
    </row>
    <row r="295" spans="3:9">
      <c r="C295" s="85"/>
      <c r="D295" s="85"/>
      <c r="E295" s="85"/>
      <c r="F295" s="85"/>
      <c r="G295" s="85"/>
      <c r="H295" s="85"/>
      <c r="I295" s="85"/>
    </row>
    <row r="296" spans="3:9">
      <c r="C296" s="85"/>
      <c r="D296" s="85"/>
      <c r="E296" s="85"/>
      <c r="F296" s="85"/>
      <c r="G296" s="85"/>
      <c r="H296" s="85"/>
      <c r="I296" s="85"/>
    </row>
    <row r="297" spans="3:9">
      <c r="C297" s="85"/>
      <c r="D297" s="85"/>
      <c r="E297" s="85"/>
      <c r="F297" s="85"/>
      <c r="G297" s="85"/>
      <c r="H297" s="85"/>
      <c r="I297" s="85"/>
    </row>
    <row r="298" spans="3:9">
      <c r="C298" s="85"/>
      <c r="D298" s="85"/>
      <c r="E298" s="85"/>
      <c r="F298" s="85"/>
      <c r="G298" s="85"/>
      <c r="H298" s="85"/>
      <c r="I298" s="85"/>
    </row>
    <row r="299" spans="3:9">
      <c r="C299" s="85"/>
      <c r="D299" s="85"/>
      <c r="E299" s="85"/>
      <c r="F299" s="85"/>
      <c r="G299" s="85"/>
      <c r="H299" s="85"/>
      <c r="I299" s="85"/>
    </row>
    <row r="300" spans="3:9">
      <c r="C300" s="85"/>
      <c r="D300" s="85"/>
      <c r="E300" s="85"/>
      <c r="F300" s="85"/>
      <c r="G300" s="85"/>
      <c r="H300" s="85"/>
      <c r="I300" s="85"/>
    </row>
    <row r="301" spans="3:9">
      <c r="C301" s="85"/>
      <c r="D301" s="85"/>
      <c r="E301" s="85"/>
      <c r="F301" s="85"/>
      <c r="G301" s="85"/>
      <c r="H301" s="85"/>
      <c r="I301" s="85"/>
    </row>
    <row r="302" spans="3:9">
      <c r="C302" s="85"/>
      <c r="D302" s="85"/>
      <c r="E302" s="85"/>
      <c r="F302" s="85"/>
      <c r="G302" s="85"/>
      <c r="H302" s="85"/>
      <c r="I302" s="85"/>
    </row>
    <row r="303" spans="3:9">
      <c r="C303" s="85"/>
      <c r="D303" s="85"/>
      <c r="E303" s="85"/>
      <c r="F303" s="85"/>
      <c r="G303" s="85"/>
      <c r="H303" s="85"/>
      <c r="I303" s="85"/>
    </row>
    <row r="304" spans="3:9">
      <c r="C304" s="85"/>
      <c r="D304" s="85"/>
      <c r="E304" s="85"/>
      <c r="F304" s="85"/>
      <c r="G304" s="85"/>
      <c r="H304" s="85"/>
      <c r="I304" s="85"/>
    </row>
    <row r="305" spans="3:9">
      <c r="C305" s="85"/>
      <c r="D305" s="85"/>
      <c r="E305" s="85"/>
      <c r="F305" s="85"/>
      <c r="G305" s="85"/>
      <c r="H305" s="85"/>
      <c r="I305" s="85"/>
    </row>
    <row r="306" spans="3:9">
      <c r="C306" s="85"/>
      <c r="D306" s="85"/>
      <c r="E306" s="85"/>
      <c r="F306" s="85"/>
      <c r="G306" s="85"/>
      <c r="H306" s="85"/>
      <c r="I306" s="85"/>
    </row>
    <row r="307" spans="3:9">
      <c r="C307" s="85"/>
      <c r="D307" s="85"/>
      <c r="E307" s="85"/>
      <c r="F307" s="85"/>
      <c r="G307" s="85"/>
      <c r="H307" s="85"/>
      <c r="I307" s="85"/>
    </row>
    <row r="308" spans="3:9">
      <c r="C308" s="85"/>
      <c r="D308" s="85"/>
      <c r="E308" s="85"/>
      <c r="F308" s="85"/>
      <c r="G308" s="85"/>
      <c r="H308" s="85"/>
      <c r="I308" s="85"/>
    </row>
    <row r="309" spans="3:9">
      <c r="C309" s="85"/>
      <c r="D309" s="85"/>
      <c r="E309" s="85"/>
      <c r="F309" s="85"/>
      <c r="G309" s="85"/>
      <c r="H309" s="85"/>
      <c r="I309" s="85"/>
    </row>
    <row r="310" spans="3:9">
      <c r="C310" s="85"/>
      <c r="D310" s="85"/>
      <c r="E310" s="85"/>
      <c r="F310" s="85"/>
      <c r="G310" s="85"/>
      <c r="H310" s="85"/>
      <c r="I310" s="85"/>
    </row>
    <row r="311" spans="3:9">
      <c r="C311" s="85"/>
      <c r="D311" s="85"/>
      <c r="E311" s="85"/>
      <c r="F311" s="85"/>
      <c r="G311" s="85"/>
      <c r="H311" s="85"/>
      <c r="I311" s="85"/>
    </row>
    <row r="312" spans="3:9">
      <c r="C312" s="85"/>
      <c r="D312" s="85"/>
      <c r="E312" s="85"/>
      <c r="F312" s="85"/>
      <c r="G312" s="85"/>
      <c r="H312" s="85"/>
      <c r="I312" s="85"/>
    </row>
    <row r="313" spans="3:9">
      <c r="C313" s="85"/>
      <c r="D313" s="85"/>
      <c r="E313" s="85"/>
      <c r="F313" s="85"/>
      <c r="G313" s="85"/>
      <c r="H313" s="85"/>
      <c r="I313" s="85"/>
    </row>
    <row r="314" spans="3:9">
      <c r="C314" s="85"/>
      <c r="D314" s="85"/>
      <c r="E314" s="85"/>
      <c r="F314" s="85"/>
      <c r="G314" s="85"/>
      <c r="H314" s="85"/>
      <c r="I314" s="85"/>
    </row>
    <row r="315" spans="3:9">
      <c r="C315" s="85"/>
      <c r="D315" s="85"/>
      <c r="E315" s="85"/>
      <c r="F315" s="85"/>
      <c r="G315" s="85"/>
      <c r="H315" s="85"/>
      <c r="I315" s="85"/>
    </row>
    <row r="316" spans="3:9">
      <c r="C316" s="85"/>
      <c r="D316" s="85"/>
      <c r="E316" s="85"/>
      <c r="F316" s="85"/>
      <c r="G316" s="85"/>
      <c r="H316" s="85"/>
      <c r="I316" s="85"/>
    </row>
    <row r="317" spans="3:9">
      <c r="C317" s="85"/>
      <c r="D317" s="85"/>
      <c r="E317" s="85"/>
      <c r="F317" s="85"/>
      <c r="G317" s="85"/>
      <c r="H317" s="85"/>
      <c r="I317" s="85"/>
    </row>
    <row r="318" spans="3:9">
      <c r="C318" s="85"/>
      <c r="D318" s="85"/>
      <c r="E318" s="85"/>
      <c r="F318" s="85"/>
      <c r="G318" s="85"/>
      <c r="H318" s="85"/>
      <c r="I318" s="85"/>
    </row>
    <row r="319" spans="3:9">
      <c r="C319" s="85"/>
      <c r="D319" s="85"/>
      <c r="E319" s="85"/>
      <c r="F319" s="85"/>
      <c r="G319" s="85"/>
      <c r="H319" s="85"/>
      <c r="I319" s="85"/>
    </row>
    <row r="320" spans="3:9">
      <c r="C320" s="85"/>
      <c r="D320" s="85"/>
      <c r="E320" s="85"/>
      <c r="F320" s="85"/>
      <c r="G320" s="85"/>
      <c r="H320" s="85"/>
      <c r="I320" s="85"/>
    </row>
    <row r="321" spans="3:9">
      <c r="C321" s="85"/>
      <c r="D321" s="85"/>
      <c r="E321" s="85"/>
      <c r="F321" s="85"/>
      <c r="G321" s="85"/>
      <c r="H321" s="85"/>
      <c r="I321" s="85"/>
    </row>
    <row r="322" spans="3:9">
      <c r="C322" s="85"/>
      <c r="D322" s="85"/>
      <c r="E322" s="85"/>
      <c r="F322" s="85"/>
      <c r="G322" s="85"/>
      <c r="H322" s="85"/>
      <c r="I322" s="85"/>
    </row>
    <row r="323" spans="3:9">
      <c r="C323" s="85"/>
      <c r="D323" s="85"/>
      <c r="E323" s="85"/>
      <c r="F323" s="85"/>
      <c r="G323" s="85"/>
      <c r="H323" s="85"/>
      <c r="I323" s="85"/>
    </row>
    <row r="324" spans="3:9">
      <c r="C324" s="85"/>
      <c r="D324" s="85"/>
      <c r="E324" s="85"/>
      <c r="F324" s="85"/>
      <c r="G324" s="85"/>
      <c r="H324" s="85"/>
      <c r="I324" s="85"/>
    </row>
    <row r="325" spans="3:9">
      <c r="C325" s="85"/>
      <c r="D325" s="85"/>
      <c r="E325" s="85"/>
      <c r="F325" s="85"/>
      <c r="G325" s="85"/>
      <c r="H325" s="85"/>
      <c r="I325" s="85"/>
    </row>
    <row r="326" spans="3:9">
      <c r="C326" s="85"/>
      <c r="D326" s="85"/>
      <c r="E326" s="85"/>
      <c r="F326" s="85"/>
      <c r="G326" s="85"/>
      <c r="H326" s="85"/>
      <c r="I326" s="85"/>
    </row>
    <row r="327" spans="3:9">
      <c r="C327" s="85"/>
      <c r="D327" s="85"/>
      <c r="E327" s="85"/>
      <c r="F327" s="85"/>
      <c r="G327" s="85"/>
      <c r="H327" s="85"/>
      <c r="I327" s="85"/>
    </row>
    <row r="328" spans="3:9">
      <c r="C328" s="85"/>
      <c r="D328" s="85"/>
      <c r="E328" s="85"/>
      <c r="F328" s="85"/>
      <c r="G328" s="85"/>
      <c r="H328" s="85"/>
      <c r="I328" s="85"/>
    </row>
    <row r="329" spans="3:9">
      <c r="C329" s="85"/>
      <c r="D329" s="85"/>
      <c r="E329" s="85"/>
      <c r="F329" s="85"/>
      <c r="G329" s="85"/>
      <c r="H329" s="85"/>
      <c r="I329" s="85"/>
    </row>
    <row r="330" spans="3:9">
      <c r="C330" s="85"/>
      <c r="D330" s="85"/>
      <c r="E330" s="85"/>
      <c r="F330" s="85"/>
      <c r="G330" s="85"/>
      <c r="H330" s="85"/>
      <c r="I330" s="85"/>
    </row>
    <row r="331" spans="3:9">
      <c r="C331" s="85"/>
      <c r="D331" s="85"/>
      <c r="E331" s="85"/>
      <c r="F331" s="85"/>
      <c r="G331" s="85"/>
      <c r="H331" s="85"/>
      <c r="I331" s="85"/>
    </row>
    <row r="332" spans="3:9">
      <c r="C332" s="85"/>
      <c r="D332" s="85"/>
      <c r="E332" s="85"/>
      <c r="F332" s="85"/>
      <c r="G332" s="85"/>
      <c r="H332" s="85"/>
      <c r="I332" s="85"/>
    </row>
    <row r="333" spans="3:9">
      <c r="C333" s="85"/>
      <c r="D333" s="85"/>
      <c r="E333" s="85"/>
      <c r="F333" s="85"/>
      <c r="G333" s="85"/>
      <c r="H333" s="85"/>
      <c r="I333" s="85"/>
    </row>
    <row r="334" spans="3:9">
      <c r="C334" s="85"/>
      <c r="D334" s="85"/>
      <c r="E334" s="85"/>
      <c r="F334" s="85"/>
      <c r="G334" s="85"/>
      <c r="H334" s="85"/>
      <c r="I334" s="85"/>
    </row>
    <row r="335" spans="3:9">
      <c r="C335" s="85"/>
      <c r="D335" s="85"/>
      <c r="E335" s="85"/>
      <c r="F335" s="85"/>
      <c r="G335" s="85"/>
      <c r="H335" s="85"/>
      <c r="I335" s="85"/>
    </row>
    <row r="336" spans="3:9">
      <c r="C336" s="85"/>
      <c r="D336" s="85"/>
      <c r="E336" s="85"/>
      <c r="F336" s="85"/>
      <c r="G336" s="85"/>
      <c r="H336" s="85"/>
      <c r="I336" s="85"/>
    </row>
    <row r="337" spans="3:9">
      <c r="C337" s="85"/>
      <c r="D337" s="85"/>
      <c r="E337" s="85"/>
      <c r="F337" s="85"/>
      <c r="G337" s="85"/>
      <c r="H337" s="85"/>
      <c r="I337" s="85"/>
    </row>
    <row r="338" spans="3:9">
      <c r="C338" s="85"/>
      <c r="D338" s="85"/>
      <c r="E338" s="85"/>
      <c r="F338" s="85"/>
      <c r="G338" s="85"/>
      <c r="H338" s="85"/>
      <c r="I338" s="85"/>
    </row>
    <row r="339" spans="3:9">
      <c r="C339" s="85"/>
      <c r="D339" s="85"/>
      <c r="E339" s="85"/>
      <c r="F339" s="85"/>
      <c r="G339" s="85"/>
      <c r="H339" s="85"/>
      <c r="I339" s="85"/>
    </row>
    <row r="340" spans="3:9">
      <c r="C340" s="85"/>
      <c r="D340" s="85"/>
      <c r="E340" s="85"/>
      <c r="F340" s="85"/>
      <c r="G340" s="85"/>
      <c r="H340" s="85"/>
      <c r="I340" s="85"/>
    </row>
    <row r="341" spans="3:9">
      <c r="C341" s="85"/>
      <c r="D341" s="85"/>
      <c r="E341" s="85"/>
      <c r="F341" s="85"/>
      <c r="G341" s="85"/>
      <c r="H341" s="85"/>
      <c r="I341" s="85"/>
    </row>
    <row r="342" spans="3:9">
      <c r="C342" s="85"/>
      <c r="D342" s="85"/>
      <c r="E342" s="85"/>
      <c r="F342" s="85"/>
      <c r="G342" s="85"/>
      <c r="H342" s="85"/>
      <c r="I342" s="85"/>
    </row>
    <row r="343" spans="3:9">
      <c r="C343" s="85"/>
      <c r="D343" s="85"/>
      <c r="E343" s="85"/>
      <c r="F343" s="85"/>
      <c r="G343" s="85"/>
      <c r="H343" s="85"/>
      <c r="I343" s="85"/>
    </row>
    <row r="344" spans="3:9">
      <c r="C344" s="85"/>
      <c r="D344" s="85"/>
      <c r="E344" s="85"/>
      <c r="F344" s="85"/>
      <c r="G344" s="85"/>
      <c r="H344" s="85"/>
      <c r="I344" s="85"/>
    </row>
    <row r="345" spans="3:9">
      <c r="C345" s="85"/>
      <c r="D345" s="85"/>
      <c r="E345" s="85"/>
      <c r="F345" s="85"/>
      <c r="G345" s="85"/>
      <c r="H345" s="85"/>
      <c r="I345" s="85"/>
    </row>
    <row r="346" spans="3:9">
      <c r="C346" s="85"/>
      <c r="D346" s="85"/>
      <c r="E346" s="85"/>
      <c r="F346" s="85"/>
      <c r="G346" s="85"/>
      <c r="H346" s="85"/>
      <c r="I346" s="85"/>
    </row>
    <row r="347" spans="3:9">
      <c r="C347" s="85"/>
      <c r="D347" s="85"/>
      <c r="E347" s="85"/>
      <c r="F347" s="85"/>
      <c r="G347" s="85"/>
      <c r="H347" s="85"/>
      <c r="I347" s="85"/>
    </row>
    <row r="348" spans="3:9">
      <c r="C348" s="85"/>
      <c r="D348" s="85"/>
      <c r="E348" s="85"/>
      <c r="F348" s="85"/>
      <c r="G348" s="85"/>
      <c r="H348" s="85"/>
      <c r="I348" s="85"/>
    </row>
    <row r="349" spans="3:9">
      <c r="C349" s="85"/>
      <c r="D349" s="85"/>
      <c r="E349" s="85"/>
      <c r="F349" s="85"/>
      <c r="G349" s="85"/>
      <c r="H349" s="85"/>
      <c r="I349" s="85"/>
    </row>
    <row r="350" spans="3:9">
      <c r="C350" s="85"/>
      <c r="D350" s="85"/>
      <c r="E350" s="85"/>
      <c r="F350" s="85"/>
      <c r="G350" s="85"/>
      <c r="H350" s="85"/>
      <c r="I350" s="85"/>
    </row>
    <row r="351" spans="3:9">
      <c r="C351" s="85"/>
      <c r="D351" s="85"/>
      <c r="E351" s="85"/>
      <c r="F351" s="85"/>
      <c r="G351" s="85"/>
      <c r="H351" s="85"/>
      <c r="I351" s="85"/>
    </row>
    <row r="352" spans="3:9">
      <c r="C352" s="85"/>
      <c r="D352" s="85"/>
      <c r="E352" s="85"/>
      <c r="F352" s="85"/>
      <c r="G352" s="85"/>
      <c r="H352" s="85"/>
      <c r="I352" s="85"/>
    </row>
    <row r="353" spans="3:9">
      <c r="C353" s="85"/>
      <c r="D353" s="85"/>
      <c r="E353" s="85"/>
      <c r="F353" s="85"/>
      <c r="G353" s="85"/>
      <c r="H353" s="85"/>
      <c r="I353" s="85"/>
    </row>
    <row r="354" spans="3:9">
      <c r="C354" s="85"/>
      <c r="D354" s="85"/>
      <c r="E354" s="85"/>
      <c r="F354" s="85"/>
      <c r="G354" s="85"/>
      <c r="H354" s="85"/>
      <c r="I354" s="85"/>
    </row>
    <row r="355" spans="3:9">
      <c r="C355" s="85"/>
      <c r="D355" s="85"/>
      <c r="E355" s="85"/>
      <c r="F355" s="85"/>
      <c r="G355" s="85"/>
      <c r="H355" s="85"/>
      <c r="I355" s="85"/>
    </row>
    <row r="356" spans="3:9">
      <c r="C356" s="85"/>
      <c r="D356" s="85"/>
      <c r="E356" s="85"/>
      <c r="F356" s="85"/>
      <c r="G356" s="85"/>
      <c r="H356" s="85"/>
      <c r="I356" s="85"/>
    </row>
    <row r="357" spans="3:9">
      <c r="C357" s="85"/>
      <c r="D357" s="85"/>
      <c r="E357" s="85"/>
      <c r="F357" s="85"/>
      <c r="G357" s="85"/>
      <c r="H357" s="85"/>
      <c r="I357" s="85"/>
    </row>
    <row r="358" spans="3:9">
      <c r="C358" s="85"/>
      <c r="D358" s="85"/>
      <c r="E358" s="85"/>
      <c r="F358" s="85"/>
      <c r="G358" s="85"/>
      <c r="H358" s="85"/>
      <c r="I358" s="85"/>
    </row>
    <row r="359" spans="3:9">
      <c r="C359" s="85"/>
      <c r="D359" s="85"/>
      <c r="E359" s="85"/>
      <c r="F359" s="85"/>
      <c r="G359" s="85"/>
      <c r="H359" s="85"/>
      <c r="I359" s="85"/>
    </row>
    <row r="360" spans="3:9">
      <c r="C360" s="85"/>
      <c r="D360" s="85"/>
      <c r="E360" s="85"/>
      <c r="F360" s="85"/>
      <c r="G360" s="85"/>
      <c r="H360" s="85"/>
      <c r="I360" s="85"/>
    </row>
    <row r="361" spans="3:9">
      <c r="C361" s="85"/>
      <c r="D361" s="85"/>
      <c r="E361" s="85"/>
      <c r="F361" s="85"/>
      <c r="G361" s="85"/>
      <c r="H361" s="85"/>
      <c r="I361" s="85"/>
    </row>
    <row r="362" spans="3:9">
      <c r="C362" s="85"/>
      <c r="D362" s="85"/>
      <c r="E362" s="85"/>
      <c r="F362" s="85"/>
      <c r="G362" s="85"/>
      <c r="H362" s="85"/>
      <c r="I362" s="85"/>
    </row>
    <row r="363" spans="3:9">
      <c r="C363" s="85"/>
      <c r="D363" s="85"/>
      <c r="E363" s="85"/>
      <c r="F363" s="85"/>
      <c r="G363" s="85"/>
      <c r="H363" s="85"/>
      <c r="I363" s="85"/>
    </row>
    <row r="364" spans="3:9">
      <c r="C364" s="85"/>
      <c r="D364" s="85"/>
      <c r="E364" s="85"/>
      <c r="F364" s="85"/>
      <c r="G364" s="85"/>
      <c r="H364" s="85"/>
      <c r="I364" s="85"/>
    </row>
    <row r="365" spans="3:9">
      <c r="C365" s="85"/>
      <c r="D365" s="85"/>
      <c r="E365" s="85"/>
      <c r="F365" s="85"/>
      <c r="G365" s="85"/>
      <c r="H365" s="85"/>
      <c r="I365" s="85"/>
    </row>
    <row r="366" spans="3:9">
      <c r="C366" s="85"/>
      <c r="D366" s="85"/>
      <c r="E366" s="85"/>
      <c r="F366" s="85"/>
      <c r="G366" s="85"/>
      <c r="H366" s="85"/>
      <c r="I366" s="85"/>
    </row>
    <row r="367" spans="3:9">
      <c r="C367" s="85"/>
      <c r="D367" s="85"/>
      <c r="E367" s="85"/>
      <c r="F367" s="85"/>
      <c r="G367" s="85"/>
      <c r="H367" s="85"/>
      <c r="I367" s="85"/>
    </row>
    <row r="368" spans="3:9">
      <c r="C368" s="85"/>
      <c r="D368" s="85"/>
      <c r="E368" s="85"/>
      <c r="F368" s="85"/>
      <c r="G368" s="85"/>
      <c r="H368" s="85"/>
      <c r="I368" s="85"/>
    </row>
    <row r="369" spans="3:9">
      <c r="C369" s="85"/>
      <c r="D369" s="85"/>
      <c r="E369" s="85"/>
      <c r="F369" s="85"/>
      <c r="G369" s="85"/>
      <c r="H369" s="85"/>
      <c r="I369" s="85"/>
    </row>
    <row r="370" spans="3:9">
      <c r="C370" s="85"/>
      <c r="D370" s="85"/>
      <c r="E370" s="85"/>
      <c r="F370" s="85"/>
      <c r="G370" s="85"/>
      <c r="H370" s="85"/>
      <c r="I370" s="85"/>
    </row>
    <row r="371" spans="3:9">
      <c r="C371" s="85"/>
      <c r="D371" s="85"/>
      <c r="E371" s="85"/>
      <c r="F371" s="85"/>
      <c r="G371" s="85"/>
      <c r="H371" s="85"/>
      <c r="I371" s="85"/>
    </row>
    <row r="372" spans="3:9">
      <c r="C372" s="85"/>
      <c r="D372" s="85"/>
      <c r="E372" s="85"/>
      <c r="F372" s="85"/>
      <c r="G372" s="85"/>
      <c r="H372" s="85"/>
      <c r="I372" s="85"/>
    </row>
    <row r="373" spans="3:9">
      <c r="C373" s="85"/>
      <c r="D373" s="85"/>
      <c r="E373" s="85"/>
      <c r="F373" s="85"/>
      <c r="G373" s="85"/>
      <c r="H373" s="85"/>
      <c r="I373" s="85"/>
    </row>
    <row r="374" spans="3:9">
      <c r="C374" s="85"/>
      <c r="D374" s="85"/>
      <c r="E374" s="85"/>
      <c r="F374" s="85"/>
      <c r="G374" s="85"/>
      <c r="H374" s="85"/>
      <c r="I374" s="85"/>
    </row>
    <row r="375" spans="3:9">
      <c r="C375" s="85"/>
      <c r="D375" s="85"/>
      <c r="E375" s="85"/>
      <c r="F375" s="85"/>
      <c r="G375" s="85"/>
      <c r="H375" s="85"/>
      <c r="I375" s="85"/>
    </row>
    <row r="376" spans="3:9">
      <c r="C376" s="85"/>
      <c r="D376" s="85"/>
      <c r="E376" s="85"/>
      <c r="F376" s="85"/>
      <c r="G376" s="85"/>
      <c r="H376" s="85"/>
      <c r="I376" s="85"/>
    </row>
    <row r="377" spans="3:9">
      <c r="C377" s="85"/>
      <c r="D377" s="85"/>
      <c r="E377" s="85"/>
      <c r="F377" s="85"/>
      <c r="G377" s="85"/>
      <c r="H377" s="85"/>
      <c r="I377" s="85"/>
    </row>
    <row r="378" spans="3:9">
      <c r="C378" s="85"/>
      <c r="D378" s="85"/>
      <c r="E378" s="85"/>
      <c r="F378" s="85"/>
      <c r="G378" s="85"/>
      <c r="H378" s="85"/>
      <c r="I378" s="85"/>
    </row>
    <row r="379" spans="3:9">
      <c r="C379" s="85"/>
      <c r="D379" s="85"/>
      <c r="E379" s="85"/>
      <c r="F379" s="85"/>
      <c r="G379" s="85"/>
      <c r="H379" s="85"/>
      <c r="I379" s="85"/>
    </row>
    <row r="380" spans="3:9">
      <c r="C380" s="85"/>
      <c r="D380" s="85"/>
      <c r="E380" s="85"/>
      <c r="F380" s="85"/>
      <c r="G380" s="85"/>
      <c r="H380" s="85"/>
      <c r="I380" s="85"/>
    </row>
    <row r="381" spans="3:9">
      <c r="C381" s="85"/>
      <c r="D381" s="85"/>
      <c r="E381" s="85"/>
      <c r="F381" s="85"/>
      <c r="G381" s="85"/>
      <c r="H381" s="85"/>
      <c r="I381" s="85"/>
    </row>
    <row r="382" spans="3:9">
      <c r="C382" s="85"/>
      <c r="D382" s="85"/>
      <c r="E382" s="85"/>
      <c r="F382" s="85"/>
      <c r="G382" s="85"/>
      <c r="H382" s="85"/>
      <c r="I382" s="85"/>
    </row>
    <row r="383" spans="3:9">
      <c r="C383" s="85"/>
      <c r="D383" s="85"/>
      <c r="E383" s="85"/>
      <c r="F383" s="85"/>
      <c r="G383" s="85"/>
      <c r="H383" s="85"/>
      <c r="I383" s="85"/>
    </row>
    <row r="384" spans="3:9">
      <c r="C384" s="85"/>
      <c r="D384" s="85"/>
      <c r="E384" s="85"/>
      <c r="F384" s="85"/>
      <c r="G384" s="85"/>
      <c r="H384" s="85"/>
      <c r="I384" s="85"/>
    </row>
    <row r="385" spans="3:9">
      <c r="C385" s="85"/>
      <c r="D385" s="85"/>
      <c r="E385" s="85"/>
      <c r="F385" s="85"/>
      <c r="G385" s="85"/>
      <c r="H385" s="85"/>
      <c r="I385" s="85"/>
    </row>
    <row r="386" spans="3:9">
      <c r="C386" s="85"/>
      <c r="D386" s="85"/>
      <c r="E386" s="85"/>
      <c r="F386" s="85"/>
      <c r="G386" s="85"/>
      <c r="H386" s="85"/>
      <c r="I386" s="85"/>
    </row>
    <row r="387" spans="3:9">
      <c r="C387" s="85"/>
      <c r="D387" s="85"/>
      <c r="E387" s="85"/>
      <c r="F387" s="85"/>
      <c r="G387" s="85"/>
      <c r="H387" s="85"/>
      <c r="I387" s="85"/>
    </row>
    <row r="388" spans="3:9">
      <c r="C388" s="85"/>
      <c r="D388" s="85"/>
      <c r="E388" s="85"/>
      <c r="F388" s="85"/>
      <c r="G388" s="85"/>
      <c r="H388" s="85"/>
      <c r="I388" s="85"/>
    </row>
    <row r="389" spans="3:9">
      <c r="C389" s="85"/>
      <c r="D389" s="85"/>
      <c r="E389" s="85"/>
      <c r="F389" s="85"/>
      <c r="G389" s="85"/>
      <c r="H389" s="85"/>
      <c r="I389" s="85"/>
    </row>
    <row r="390" spans="3:9">
      <c r="C390" s="85"/>
      <c r="D390" s="85"/>
      <c r="E390" s="85"/>
      <c r="F390" s="85"/>
      <c r="G390" s="85"/>
      <c r="H390" s="85"/>
      <c r="I390" s="85"/>
    </row>
    <row r="391" spans="3:9">
      <c r="C391" s="85"/>
      <c r="D391" s="85"/>
      <c r="E391" s="85"/>
      <c r="F391" s="85"/>
      <c r="G391" s="85"/>
      <c r="H391" s="85"/>
      <c r="I391" s="85"/>
    </row>
    <row r="392" spans="3:9">
      <c r="C392" s="85"/>
      <c r="D392" s="85"/>
      <c r="E392" s="85"/>
      <c r="F392" s="85"/>
      <c r="G392" s="85"/>
      <c r="H392" s="85"/>
      <c r="I392" s="85"/>
    </row>
    <row r="393" spans="3:9">
      <c r="C393" s="85"/>
      <c r="D393" s="85"/>
      <c r="E393" s="85"/>
      <c r="F393" s="85"/>
      <c r="G393" s="85"/>
      <c r="H393" s="85"/>
      <c r="I393" s="85"/>
    </row>
    <row r="394" spans="3:9">
      <c r="C394" s="85"/>
      <c r="D394" s="85"/>
      <c r="E394" s="85"/>
      <c r="F394" s="85"/>
      <c r="G394" s="85"/>
      <c r="H394" s="85"/>
      <c r="I394" s="85"/>
    </row>
    <row r="395" spans="3:9">
      <c r="C395" s="85"/>
      <c r="D395" s="85"/>
      <c r="E395" s="85"/>
      <c r="F395" s="85"/>
      <c r="G395" s="85"/>
      <c r="H395" s="85"/>
      <c r="I395" s="85"/>
    </row>
    <row r="396" spans="3:9">
      <c r="C396" s="85"/>
      <c r="D396" s="85"/>
      <c r="E396" s="85"/>
      <c r="F396" s="85"/>
      <c r="G396" s="85"/>
      <c r="H396" s="85"/>
      <c r="I396" s="85"/>
    </row>
    <row r="397" spans="3:9">
      <c r="C397" s="85"/>
      <c r="D397" s="85"/>
      <c r="E397" s="85"/>
      <c r="F397" s="85"/>
      <c r="G397" s="85"/>
      <c r="H397" s="85"/>
      <c r="I397" s="85"/>
    </row>
    <row r="398" spans="3:9">
      <c r="C398" s="85"/>
      <c r="D398" s="85"/>
      <c r="E398" s="85"/>
      <c r="F398" s="85"/>
      <c r="G398" s="85"/>
      <c r="H398" s="85"/>
      <c r="I398" s="85"/>
    </row>
    <row r="399" spans="3:9">
      <c r="C399" s="85"/>
      <c r="D399" s="85"/>
      <c r="E399" s="85"/>
      <c r="F399" s="85"/>
      <c r="G399" s="85"/>
      <c r="H399" s="85"/>
      <c r="I399" s="85"/>
    </row>
    <row r="400" spans="3:9">
      <c r="C400" s="85"/>
      <c r="D400" s="85"/>
      <c r="E400" s="85"/>
      <c r="F400" s="85"/>
      <c r="G400" s="85"/>
      <c r="H400" s="85"/>
      <c r="I400" s="85"/>
    </row>
    <row r="401" spans="3:9">
      <c r="C401" s="85"/>
      <c r="D401" s="85"/>
      <c r="E401" s="85"/>
      <c r="F401" s="85"/>
      <c r="G401" s="85"/>
      <c r="H401" s="85"/>
      <c r="I401" s="85"/>
    </row>
    <row r="402" spans="3:9">
      <c r="C402" s="85"/>
      <c r="D402" s="85"/>
      <c r="E402" s="85"/>
      <c r="F402" s="85"/>
      <c r="G402" s="85"/>
      <c r="H402" s="85"/>
      <c r="I402" s="85"/>
    </row>
    <row r="403" spans="3:9">
      <c r="C403" s="85"/>
      <c r="D403" s="85"/>
      <c r="E403" s="85"/>
      <c r="F403" s="85"/>
      <c r="G403" s="85"/>
      <c r="H403" s="85"/>
      <c r="I403" s="85"/>
    </row>
    <row r="404" spans="3:9">
      <c r="C404" s="85"/>
      <c r="D404" s="85"/>
      <c r="E404" s="85"/>
      <c r="F404" s="85"/>
      <c r="G404" s="85"/>
      <c r="H404" s="85"/>
      <c r="I404" s="85"/>
    </row>
    <row r="405" spans="3:9">
      <c r="C405" s="85"/>
      <c r="D405" s="85"/>
      <c r="E405" s="85"/>
      <c r="F405" s="85"/>
      <c r="G405" s="85"/>
      <c r="H405" s="85"/>
      <c r="I405" s="85"/>
    </row>
    <row r="406" spans="3:9">
      <c r="C406" s="85"/>
      <c r="D406" s="85"/>
      <c r="E406" s="85"/>
      <c r="F406" s="85"/>
      <c r="G406" s="85"/>
      <c r="H406" s="85"/>
      <c r="I406" s="85"/>
    </row>
    <row r="407" spans="3:9">
      <c r="C407" s="85"/>
      <c r="D407" s="85"/>
      <c r="E407" s="85"/>
      <c r="F407" s="85"/>
      <c r="G407" s="85"/>
      <c r="H407" s="85"/>
      <c r="I407" s="85"/>
    </row>
    <row r="408" spans="3:9">
      <c r="C408" s="85"/>
      <c r="D408" s="85"/>
      <c r="E408" s="85"/>
      <c r="F408" s="85"/>
      <c r="G408" s="85"/>
      <c r="H408" s="85"/>
      <c r="I408" s="85"/>
    </row>
    <row r="409" spans="3:9">
      <c r="C409" s="85"/>
      <c r="D409" s="85"/>
      <c r="E409" s="85"/>
      <c r="F409" s="85"/>
      <c r="G409" s="85"/>
      <c r="H409" s="85"/>
      <c r="I409" s="85"/>
    </row>
    <row r="410" spans="3:9">
      <c r="C410" s="85"/>
      <c r="D410" s="85"/>
      <c r="E410" s="85"/>
      <c r="F410" s="85"/>
      <c r="G410" s="85"/>
      <c r="H410" s="85"/>
      <c r="I410" s="85"/>
    </row>
    <row r="411" spans="3:9">
      <c r="C411" s="85"/>
      <c r="D411" s="85"/>
      <c r="E411" s="85"/>
      <c r="F411" s="85"/>
      <c r="G411" s="85"/>
      <c r="H411" s="85"/>
      <c r="I411" s="85"/>
    </row>
    <row r="412" spans="3:9">
      <c r="C412" s="85"/>
      <c r="D412" s="85"/>
      <c r="E412" s="85"/>
      <c r="F412" s="85"/>
      <c r="G412" s="85"/>
      <c r="H412" s="85"/>
      <c r="I412" s="85"/>
    </row>
    <row r="413" spans="3:9">
      <c r="C413" s="85"/>
      <c r="D413" s="85"/>
      <c r="E413" s="85"/>
      <c r="F413" s="85"/>
      <c r="G413" s="85"/>
      <c r="H413" s="85"/>
      <c r="I413" s="85"/>
    </row>
    <row r="414" spans="3:9">
      <c r="C414" s="85"/>
      <c r="D414" s="85"/>
      <c r="E414" s="85"/>
      <c r="F414" s="85"/>
      <c r="G414" s="85"/>
      <c r="H414" s="85"/>
      <c r="I414" s="85"/>
    </row>
    <row r="415" spans="3:9">
      <c r="C415" s="85"/>
      <c r="D415" s="85"/>
      <c r="E415" s="85"/>
      <c r="F415" s="85"/>
      <c r="G415" s="85"/>
      <c r="H415" s="85"/>
      <c r="I415" s="85"/>
    </row>
    <row r="416" spans="3:9">
      <c r="C416" s="85"/>
      <c r="D416" s="85"/>
      <c r="E416" s="85"/>
      <c r="F416" s="85"/>
      <c r="G416" s="85"/>
      <c r="H416" s="85"/>
      <c r="I416" s="85"/>
    </row>
    <row r="417" spans="3:9">
      <c r="C417" s="85"/>
      <c r="D417" s="85"/>
      <c r="E417" s="85"/>
      <c r="F417" s="85"/>
      <c r="G417" s="85"/>
      <c r="H417" s="85"/>
      <c r="I417" s="85"/>
    </row>
    <row r="418" spans="3:9">
      <c r="C418" s="85"/>
      <c r="D418" s="85"/>
      <c r="E418" s="85"/>
      <c r="F418" s="85"/>
      <c r="G418" s="85"/>
      <c r="H418" s="85"/>
      <c r="I418" s="85"/>
    </row>
    <row r="419" spans="3:9">
      <c r="C419" s="85"/>
      <c r="D419" s="85"/>
      <c r="E419" s="85"/>
      <c r="F419" s="85"/>
      <c r="G419" s="85"/>
      <c r="H419" s="85"/>
      <c r="I419" s="85"/>
    </row>
    <row r="420" spans="3:9">
      <c r="C420" s="85"/>
      <c r="D420" s="85"/>
      <c r="E420" s="85"/>
      <c r="F420" s="85"/>
      <c r="G420" s="85"/>
      <c r="H420" s="85"/>
      <c r="I420" s="85"/>
    </row>
    <row r="421" spans="3:9">
      <c r="C421" s="85"/>
      <c r="D421" s="85"/>
      <c r="E421" s="85"/>
      <c r="F421" s="85"/>
      <c r="G421" s="85"/>
      <c r="H421" s="85"/>
      <c r="I421" s="85"/>
    </row>
    <row r="422" spans="3:9">
      <c r="C422" s="85"/>
      <c r="D422" s="85"/>
      <c r="E422" s="85"/>
      <c r="F422" s="85"/>
      <c r="G422" s="85"/>
      <c r="H422" s="85"/>
      <c r="I422" s="85"/>
    </row>
    <row r="423" spans="3:9">
      <c r="C423" s="85"/>
      <c r="D423" s="85"/>
      <c r="E423" s="85"/>
      <c r="F423" s="85"/>
      <c r="G423" s="85"/>
      <c r="H423" s="85"/>
      <c r="I423" s="85"/>
    </row>
    <row r="424" spans="3:9">
      <c r="C424" s="85"/>
      <c r="D424" s="85"/>
      <c r="E424" s="85"/>
      <c r="F424" s="85"/>
      <c r="G424" s="85"/>
      <c r="H424" s="85"/>
      <c r="I424" s="85"/>
    </row>
    <row r="425" spans="3:9">
      <c r="C425" s="85"/>
      <c r="D425" s="85"/>
      <c r="E425" s="85"/>
      <c r="F425" s="85"/>
      <c r="G425" s="85"/>
      <c r="H425" s="85"/>
      <c r="I425" s="85"/>
    </row>
    <row r="426" spans="3:9">
      <c r="C426" s="85"/>
      <c r="D426" s="85"/>
      <c r="E426" s="85"/>
      <c r="F426" s="85"/>
      <c r="G426" s="85"/>
      <c r="H426" s="85"/>
      <c r="I426" s="85"/>
    </row>
    <row r="427" spans="3:9">
      <c r="C427" s="85"/>
      <c r="D427" s="85"/>
      <c r="E427" s="85"/>
      <c r="F427" s="85"/>
      <c r="G427" s="85"/>
      <c r="H427" s="85"/>
      <c r="I427" s="85"/>
    </row>
    <row r="428" spans="3:9">
      <c r="C428" s="85"/>
      <c r="D428" s="85"/>
      <c r="E428" s="85"/>
      <c r="F428" s="85"/>
      <c r="G428" s="85"/>
      <c r="H428" s="85"/>
      <c r="I428" s="85"/>
    </row>
    <row r="429" spans="3:9">
      <c r="C429" s="85"/>
      <c r="D429" s="85"/>
      <c r="E429" s="85"/>
      <c r="F429" s="85"/>
      <c r="G429" s="85"/>
      <c r="H429" s="85"/>
      <c r="I429" s="85"/>
    </row>
    <row r="430" spans="3:9">
      <c r="C430" s="85"/>
      <c r="D430" s="85"/>
      <c r="E430" s="85"/>
      <c r="F430" s="85"/>
      <c r="G430" s="85"/>
      <c r="H430" s="85"/>
      <c r="I430" s="85"/>
    </row>
    <row r="431" spans="3:9">
      <c r="C431" s="85"/>
      <c r="D431" s="85"/>
      <c r="E431" s="85"/>
      <c r="F431" s="85"/>
      <c r="G431" s="85"/>
      <c r="H431" s="85"/>
      <c r="I431" s="85"/>
    </row>
    <row r="432" spans="3:9">
      <c r="C432" s="85"/>
      <c r="D432" s="85"/>
      <c r="E432" s="85"/>
      <c r="F432" s="85"/>
      <c r="G432" s="85"/>
      <c r="H432" s="85"/>
      <c r="I432" s="85"/>
    </row>
  </sheetData>
  <mergeCells count="90">
    <mergeCell ref="F48:H48"/>
    <mergeCell ref="J57:W57"/>
    <mergeCell ref="Y57:AU57"/>
    <mergeCell ref="AW57:BW57"/>
    <mergeCell ref="C197:E197"/>
    <mergeCell ref="F197:H197"/>
    <mergeCell ref="J186:W186"/>
    <mergeCell ref="Y186:AU186"/>
    <mergeCell ref="AW186:BW186"/>
    <mergeCell ref="C187:E187"/>
    <mergeCell ref="F187:H187"/>
    <mergeCell ref="J196:W196"/>
    <mergeCell ref="Y196:AU196"/>
    <mergeCell ref="AW196:BW196"/>
    <mergeCell ref="C176:E176"/>
    <mergeCell ref="F176:H176"/>
    <mergeCell ref="J175:W175"/>
    <mergeCell ref="Y175:AU175"/>
    <mergeCell ref="AW175:BW175"/>
    <mergeCell ref="C137:E137"/>
    <mergeCell ref="F137:H137"/>
    <mergeCell ref="J163:W163"/>
    <mergeCell ref="Y163:AU163"/>
    <mergeCell ref="AW163:BW163"/>
    <mergeCell ref="C164:E164"/>
    <mergeCell ref="F164:H164"/>
    <mergeCell ref="J150:W150"/>
    <mergeCell ref="Y150:AU150"/>
    <mergeCell ref="AW150:BW150"/>
    <mergeCell ref="C151:E151"/>
    <mergeCell ref="F151:H151"/>
    <mergeCell ref="J136:W136"/>
    <mergeCell ref="Y136:AU136"/>
    <mergeCell ref="AW136:BW136"/>
    <mergeCell ref="C96:E96"/>
    <mergeCell ref="F96:H96"/>
    <mergeCell ref="J121:W121"/>
    <mergeCell ref="Y121:AU121"/>
    <mergeCell ref="AW121:BW121"/>
    <mergeCell ref="C122:E122"/>
    <mergeCell ref="F122:H122"/>
    <mergeCell ref="J105:W105"/>
    <mergeCell ref="Y105:AU105"/>
    <mergeCell ref="AW105:BW105"/>
    <mergeCell ref="C106:E106"/>
    <mergeCell ref="F106:H106"/>
    <mergeCell ref="J95:W95"/>
    <mergeCell ref="Y95:AU95"/>
    <mergeCell ref="AW95:BW95"/>
    <mergeCell ref="C77:E77"/>
    <mergeCell ref="F77:H77"/>
    <mergeCell ref="J86:W86"/>
    <mergeCell ref="Y86:AU86"/>
    <mergeCell ref="AW86:BW86"/>
    <mergeCell ref="C87:E87"/>
    <mergeCell ref="F87:H87"/>
    <mergeCell ref="J76:W76"/>
    <mergeCell ref="Y76:AU76"/>
    <mergeCell ref="AW76:BW76"/>
    <mergeCell ref="C48:E48"/>
    <mergeCell ref="C29:E29"/>
    <mergeCell ref="F29:H29"/>
    <mergeCell ref="J67:W67"/>
    <mergeCell ref="Y67:AU67"/>
    <mergeCell ref="AW67:BW67"/>
    <mergeCell ref="C68:E68"/>
    <mergeCell ref="F68:H68"/>
    <mergeCell ref="J47:W47"/>
    <mergeCell ref="Y47:AU47"/>
    <mergeCell ref="AW47:BW47"/>
    <mergeCell ref="C58:E58"/>
    <mergeCell ref="F58:H58"/>
    <mergeCell ref="C18:E18"/>
    <mergeCell ref="F18:H18"/>
    <mergeCell ref="J6:W6"/>
    <mergeCell ref="Y6:AU6"/>
    <mergeCell ref="AW6:BW6"/>
    <mergeCell ref="C7:E7"/>
    <mergeCell ref="F7:H7"/>
    <mergeCell ref="J28:W28"/>
    <mergeCell ref="Y28:AU28"/>
    <mergeCell ref="AW28:BW28"/>
    <mergeCell ref="J17:W17"/>
    <mergeCell ref="Y17:AU17"/>
    <mergeCell ref="AW17:BW17"/>
    <mergeCell ref="J38:W38"/>
    <mergeCell ref="Y38:AU38"/>
    <mergeCell ref="AW38:BW38"/>
    <mergeCell ref="C39:E39"/>
    <mergeCell ref="F39:H39"/>
  </mergeCells>
  <pageMargins left="0.7" right="0.7" top="0.75" bottom="0.75" header="0.3" footer="0.3"/>
  <pageSetup paperSize="9" orientation="portrait" r:id="rId1"/>
  <ignoredErrors>
    <ignoredError sqref="AT93:AU93 AT45:AU45 AT74:AU74 BV91:BW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AE31-0A4B-4D89-BEDD-5603E95C062D}">
  <dimension ref="A1:T67"/>
  <sheetViews>
    <sheetView zoomScale="70" zoomScaleNormal="70" workbookViewId="0"/>
  </sheetViews>
  <sheetFormatPr baseColWidth="10" defaultColWidth="16" defaultRowHeight="13"/>
  <cols>
    <col min="1" max="1" width="23.1796875" style="1" customWidth="1"/>
    <col min="2" max="2" width="23.54296875" style="111" customWidth="1"/>
    <col min="3" max="3" width="15" style="111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4"/>
    </row>
    <row r="2" spans="1:19" ht="20.25" customHeight="1">
      <c r="A2" s="115" t="s">
        <v>76</v>
      </c>
      <c r="B2" s="116" t="str">
        <f>A4</f>
        <v>Mortalidad por todas las causas</v>
      </c>
      <c r="C2" s="117"/>
      <c r="O2" s="118"/>
      <c r="P2" s="119"/>
    </row>
    <row r="3" spans="1:19" ht="26">
      <c r="A3" s="12" t="s">
        <v>6</v>
      </c>
      <c r="B3" s="694" t="s">
        <v>77</v>
      </c>
      <c r="C3" s="695"/>
      <c r="D3" s="696"/>
      <c r="E3" s="694" t="s">
        <v>78</v>
      </c>
      <c r="F3" s="695"/>
      <c r="G3" s="696"/>
      <c r="H3" s="120" t="s">
        <v>79</v>
      </c>
      <c r="I3" s="694" t="s">
        <v>80</v>
      </c>
      <c r="J3" s="695"/>
      <c r="K3" s="696"/>
      <c r="L3" s="694" t="s">
        <v>81</v>
      </c>
      <c r="M3" s="696"/>
      <c r="N3" s="121" t="s">
        <v>82</v>
      </c>
      <c r="O3" s="119"/>
    </row>
    <row r="4" spans="1:19" ht="26">
      <c r="A4" s="503" t="s">
        <v>233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22" t="s">
        <v>83</v>
      </c>
      <c r="I4" s="123" t="s">
        <v>84</v>
      </c>
      <c r="J4" s="124" t="s">
        <v>85</v>
      </c>
      <c r="K4" s="123" t="s">
        <v>11</v>
      </c>
      <c r="L4" s="125" t="s">
        <v>84</v>
      </c>
      <c r="M4" s="126" t="s">
        <v>86</v>
      </c>
      <c r="N4" s="127" t="s">
        <v>83</v>
      </c>
      <c r="O4" s="663"/>
      <c r="P4" s="664" t="s">
        <v>87</v>
      </c>
      <c r="Q4" s="664" t="s">
        <v>87</v>
      </c>
    </row>
    <row r="5" spans="1:19">
      <c r="A5" s="583" t="s">
        <v>434</v>
      </c>
      <c r="B5" s="29">
        <v>168</v>
      </c>
      <c r="C5" s="30">
        <v>2034</v>
      </c>
      <c r="D5" s="31">
        <v>2202</v>
      </c>
      <c r="E5" s="29">
        <v>201</v>
      </c>
      <c r="F5" s="30">
        <v>1998</v>
      </c>
      <c r="G5" s="31">
        <v>2199</v>
      </c>
      <c r="H5" s="128">
        <v>2.5</v>
      </c>
      <c r="I5" s="129">
        <f t="shared" ref="I5:I8" si="0">D5*H5</f>
        <v>5505</v>
      </c>
      <c r="J5" s="129">
        <f t="shared" ref="J5:J8" si="1">G5*H5</f>
        <v>5497.5</v>
      </c>
      <c r="K5" s="129">
        <f>I5+J5</f>
        <v>11002.5</v>
      </c>
      <c r="L5" s="130">
        <f t="shared" ref="L5:L9" si="2">B5/I5</f>
        <v>3.0517711171662125E-2</v>
      </c>
      <c r="M5" s="130">
        <f t="shared" ref="M5:M9" si="3">E5/J5</f>
        <v>3.6562073669849933E-2</v>
      </c>
      <c r="N5" s="131">
        <v>63</v>
      </c>
      <c r="O5" s="665">
        <f>N5*(D5+G5)</f>
        <v>277263</v>
      </c>
      <c r="P5" s="663" t="str">
        <f t="shared" ref="P5:P9" si="4">CONCATENATE(B5," ",$P$4," ",D5)</f>
        <v>168 / 2202</v>
      </c>
      <c r="Q5" s="663" t="str">
        <f t="shared" ref="Q5:Q9" si="5">CONCATENATE(E5," ",$Q$4," ",G5)</f>
        <v>201 / 2199</v>
      </c>
    </row>
    <row r="6" spans="1:19">
      <c r="A6" s="583" t="s">
        <v>435</v>
      </c>
      <c r="B6" s="29">
        <v>101</v>
      </c>
      <c r="C6" s="30">
        <v>2051</v>
      </c>
      <c r="D6" s="31">
        <v>2152</v>
      </c>
      <c r="E6" s="29">
        <v>146</v>
      </c>
      <c r="F6" s="30">
        <v>2006</v>
      </c>
      <c r="G6" s="31">
        <v>2152</v>
      </c>
      <c r="H6" s="128">
        <v>2</v>
      </c>
      <c r="I6" s="129">
        <f t="shared" si="0"/>
        <v>4304</v>
      </c>
      <c r="J6" s="129">
        <f t="shared" si="1"/>
        <v>4304</v>
      </c>
      <c r="K6" s="129">
        <f t="shared" ref="K6:K8" si="6">I6+J6</f>
        <v>8608</v>
      </c>
      <c r="L6" s="130">
        <f t="shared" si="2"/>
        <v>2.3466542750929367E-2</v>
      </c>
      <c r="M6" s="130">
        <f t="shared" si="3"/>
        <v>3.3921933085501857E-2</v>
      </c>
      <c r="N6" s="131">
        <v>61.8</v>
      </c>
      <c r="O6" s="665">
        <f t="shared" ref="O6:O8" si="7">N6*(D6+G6)</f>
        <v>265987.20000000001</v>
      </c>
      <c r="P6" s="663" t="str">
        <f t="shared" si="4"/>
        <v>101 / 2152</v>
      </c>
      <c r="Q6" s="663" t="str">
        <f t="shared" si="5"/>
        <v>146 / 2152</v>
      </c>
    </row>
    <row r="7" spans="1:19">
      <c r="A7" s="583" t="s">
        <v>436</v>
      </c>
      <c r="B7" s="29">
        <v>246</v>
      </c>
      <c r="C7" s="30">
        <v>5046</v>
      </c>
      <c r="D7" s="31">
        <v>5292</v>
      </c>
      <c r="E7" s="29">
        <v>246</v>
      </c>
      <c r="F7" s="30">
        <v>5046</v>
      </c>
      <c r="G7" s="31">
        <v>5292</v>
      </c>
      <c r="H7" s="128">
        <v>1.3333333333333333</v>
      </c>
      <c r="I7" s="129">
        <f t="shared" si="0"/>
        <v>7056</v>
      </c>
      <c r="J7" s="129">
        <f t="shared" si="1"/>
        <v>7056</v>
      </c>
      <c r="K7" s="129">
        <f t="shared" si="6"/>
        <v>14112</v>
      </c>
      <c r="L7" s="130">
        <f t="shared" si="2"/>
        <v>3.486394557823129E-2</v>
      </c>
      <c r="M7" s="130">
        <f t="shared" si="3"/>
        <v>3.486394557823129E-2</v>
      </c>
      <c r="N7" s="131">
        <v>69</v>
      </c>
      <c r="O7" s="665">
        <f t="shared" si="7"/>
        <v>730296</v>
      </c>
      <c r="P7" s="663" t="str">
        <f t="shared" si="4"/>
        <v>246 / 5292</v>
      </c>
      <c r="Q7" s="663" t="str">
        <f t="shared" si="5"/>
        <v>246 / 5292</v>
      </c>
    </row>
    <row r="8" spans="1:19">
      <c r="A8" s="583" t="s">
        <v>437</v>
      </c>
      <c r="B8" s="29">
        <v>148</v>
      </c>
      <c r="C8" s="30">
        <v>3156</v>
      </c>
      <c r="D8" s="31">
        <v>3304</v>
      </c>
      <c r="E8" s="29">
        <v>167</v>
      </c>
      <c r="F8" s="30">
        <v>3138</v>
      </c>
      <c r="G8" s="31">
        <v>3305</v>
      </c>
      <c r="H8" s="128">
        <v>2</v>
      </c>
      <c r="I8" s="129">
        <f t="shared" si="0"/>
        <v>6608</v>
      </c>
      <c r="J8" s="129">
        <f t="shared" si="1"/>
        <v>6610</v>
      </c>
      <c r="K8" s="129">
        <f t="shared" si="6"/>
        <v>13218</v>
      </c>
      <c r="L8" s="130">
        <f t="shared" si="2"/>
        <v>2.2397094430992737E-2</v>
      </c>
      <c r="M8" s="130">
        <f t="shared" si="3"/>
        <v>2.5264750378214827E-2</v>
      </c>
      <c r="N8" s="131">
        <v>64</v>
      </c>
      <c r="O8" s="665">
        <f t="shared" si="7"/>
        <v>422976</v>
      </c>
      <c r="P8" s="663" t="str">
        <f t="shared" si="4"/>
        <v>148 / 3304</v>
      </c>
      <c r="Q8" s="663" t="str">
        <f t="shared" si="5"/>
        <v>167 / 3305</v>
      </c>
    </row>
    <row r="9" spans="1:19">
      <c r="A9" s="504">
        <f>COUNT(D5:D8)</f>
        <v>4</v>
      </c>
      <c r="B9" s="132">
        <f>SUM(B5:B8)</f>
        <v>663</v>
      </c>
      <c r="C9" s="133">
        <v>23009</v>
      </c>
      <c r="D9" s="132">
        <f>SUM(D5:D8)</f>
        <v>12950</v>
      </c>
      <c r="E9" s="132">
        <f>SUM(E5:E8)</f>
        <v>760</v>
      </c>
      <c r="F9" s="133">
        <v>28669.98</v>
      </c>
      <c r="G9" s="132">
        <f>SUM(G5:G8)</f>
        <v>12948</v>
      </c>
      <c r="H9" s="522">
        <f>K9/(D9+G9)</f>
        <v>1.8125144798826165</v>
      </c>
      <c r="I9" s="135">
        <f>SUM(I5:I8)</f>
        <v>23473</v>
      </c>
      <c r="J9" s="135">
        <f>SUM(J5:J8)</f>
        <v>23467.5</v>
      </c>
      <c r="K9" s="135">
        <f>SUM(K5:K8)</f>
        <v>46940.5</v>
      </c>
      <c r="L9" s="136">
        <f t="shared" si="2"/>
        <v>2.8245217909939078E-2</v>
      </c>
      <c r="M9" s="136">
        <f t="shared" si="3"/>
        <v>3.2385213593267285E-2</v>
      </c>
      <c r="N9" s="137">
        <f>O9/(D9+G9)</f>
        <v>65.507846165727088</v>
      </c>
      <c r="O9" s="666">
        <f>SUM(O5:O8)</f>
        <v>1696522.2</v>
      </c>
      <c r="P9" s="667" t="str">
        <f t="shared" si="4"/>
        <v>663 / 12950</v>
      </c>
      <c r="Q9" s="667" t="str">
        <f t="shared" si="5"/>
        <v>760 / 12948</v>
      </c>
    </row>
    <row r="10" spans="1:19" ht="15" thickBot="1">
      <c r="B10" s="1"/>
      <c r="C10" s="1"/>
      <c r="E10" s="138"/>
      <c r="F10" s="10"/>
      <c r="S10" s="114"/>
    </row>
    <row r="11" spans="1:19" ht="15" thickBot="1">
      <c r="B11" s="139" t="s">
        <v>88</v>
      </c>
      <c r="C11" s="140">
        <v>5.8698668571888296E-2</v>
      </c>
      <c r="D11" s="697" t="s">
        <v>89</v>
      </c>
      <c r="E11" s="698"/>
      <c r="F11" s="699"/>
      <c r="H11" s="96"/>
      <c r="I11" s="400"/>
      <c r="S11" s="114"/>
    </row>
    <row r="12" spans="1:19" ht="26.5" thickBot="1">
      <c r="A12" s="141">
        <f>I38</f>
        <v>3.2385213593267285E-2</v>
      </c>
      <c r="B12" s="118" t="s">
        <v>90</v>
      </c>
      <c r="C12" s="14"/>
      <c r="D12" s="142" t="s">
        <v>91</v>
      </c>
      <c r="E12" s="143" t="s">
        <v>92</v>
      </c>
      <c r="F12" s="142" t="s">
        <v>93</v>
      </c>
      <c r="S12" s="114"/>
    </row>
    <row r="13" spans="1:19" ht="15" thickBot="1">
      <c r="A13" s="144">
        <f>E38</f>
        <v>1.8125144798826165</v>
      </c>
      <c r="B13" s="145" t="s">
        <v>94</v>
      </c>
      <c r="C13" s="14"/>
      <c r="D13" s="146">
        <v>0.85913112000704717</v>
      </c>
      <c r="E13" s="147">
        <v>0.74276882575060676</v>
      </c>
      <c r="F13" s="148">
        <v>0.99372275164977253</v>
      </c>
      <c r="G13" s="14"/>
      <c r="S13" s="114"/>
    </row>
    <row r="14" spans="1:19" ht="14.5" hidden="1">
      <c r="A14" s="149"/>
      <c r="B14" s="150"/>
      <c r="C14" s="1"/>
      <c r="S14" s="114"/>
    </row>
    <row r="15" spans="1:19" ht="14.5" hidden="1">
      <c r="A15" s="149"/>
      <c r="B15" s="150"/>
      <c r="C15" s="545" t="s">
        <v>371</v>
      </c>
      <c r="D15" s="546">
        <f>C11*D13</f>
        <v>5.0429852873088848E-2</v>
      </c>
      <c r="E15" s="546">
        <f>C11*E13</f>
        <v>4.3599541128265515E-2</v>
      </c>
      <c r="F15" s="546">
        <f>C11*F13</f>
        <v>5.8330202451434859E-2</v>
      </c>
      <c r="S15" s="114"/>
    </row>
    <row r="16" spans="1:19" ht="14.5" hidden="1">
      <c r="A16" s="149"/>
      <c r="B16" s="150"/>
      <c r="C16" s="544"/>
      <c r="S16" s="114"/>
    </row>
    <row r="17" spans="1:19" ht="14.5" hidden="1">
      <c r="A17" s="149"/>
      <c r="B17" s="150"/>
      <c r="C17" s="547" t="s">
        <v>95</v>
      </c>
      <c r="D17" s="548">
        <f>C11-D15</f>
        <v>8.2688156987994477E-3</v>
      </c>
      <c r="E17" s="549">
        <f>C11-F15</f>
        <v>3.6846612045343674E-4</v>
      </c>
      <c r="F17" s="549">
        <f>C11-E15</f>
        <v>1.5099127443622781E-2</v>
      </c>
      <c r="S17" s="114"/>
    </row>
    <row r="18" spans="1:19" ht="14.5" hidden="1">
      <c r="A18" s="149"/>
      <c r="B18" s="150"/>
      <c r="C18" s="547" t="s">
        <v>96</v>
      </c>
      <c r="D18" s="550">
        <f>1/D17</f>
        <v>120.93630290310986</v>
      </c>
      <c r="E18" s="550">
        <f>1/F17</f>
        <v>66.228992617871882</v>
      </c>
      <c r="F18" s="550">
        <f>1/E17</f>
        <v>2713.9537246175951</v>
      </c>
      <c r="S18" s="114"/>
    </row>
    <row r="19" spans="1:19" ht="14.5" hidden="1">
      <c r="A19" s="149"/>
      <c r="B19" s="150"/>
      <c r="C19" s="14"/>
      <c r="D19" s="14"/>
      <c r="E19" s="14"/>
      <c r="F19" s="14"/>
      <c r="S19" s="114"/>
    </row>
    <row r="20" spans="1:19" ht="14.5" hidden="1">
      <c r="A20" s="149"/>
      <c r="B20" s="151" t="s">
        <v>97</v>
      </c>
      <c r="C20" s="152"/>
      <c r="D20" s="152"/>
      <c r="E20" s="153">
        <f>ROUND(D13,2)</f>
        <v>0.86</v>
      </c>
      <c r="F20" s="154">
        <f>ROUND(D17,4)</f>
        <v>8.3000000000000001E-3</v>
      </c>
      <c r="G20" s="155">
        <f>ROUND(D18,0)</f>
        <v>121</v>
      </c>
      <c r="S20" s="114"/>
    </row>
    <row r="21" spans="1:19" ht="14.5" hidden="1">
      <c r="A21" s="149"/>
      <c r="B21" s="156" t="s">
        <v>98</v>
      </c>
      <c r="C21" s="157">
        <f>ROUND(D15,4)</f>
        <v>5.04E-2</v>
      </c>
      <c r="D21" s="158">
        <f>ROUND(C11,4)</f>
        <v>5.8700000000000002E-2</v>
      </c>
      <c r="E21" s="159">
        <f>ROUND(E13,2)</f>
        <v>0.74</v>
      </c>
      <c r="F21" s="160">
        <f>ROUND(E17,4)</f>
        <v>4.0000000000000002E-4</v>
      </c>
      <c r="G21" s="161">
        <f>ROUND(E18,0)</f>
        <v>66</v>
      </c>
      <c r="S21" s="114"/>
    </row>
    <row r="22" spans="1:19" ht="14.5" hidden="1">
      <c r="A22" s="149"/>
      <c r="B22" s="156" t="s">
        <v>99</v>
      </c>
      <c r="C22" s="162"/>
      <c r="D22" s="162"/>
      <c r="E22" s="159">
        <f>ROUND(F13,2)</f>
        <v>0.99</v>
      </c>
      <c r="F22" s="160">
        <f>ROUND(F17,4)</f>
        <v>1.5100000000000001E-2</v>
      </c>
      <c r="G22" s="161">
        <f>ROUND(F18,0)</f>
        <v>2714</v>
      </c>
      <c r="S22" s="114"/>
    </row>
    <row r="23" spans="1:19" ht="14.5" hidden="1">
      <c r="A23" s="149"/>
      <c r="B23" s="156" t="s">
        <v>100</v>
      </c>
      <c r="C23" s="163" t="s">
        <v>101</v>
      </c>
      <c r="D23" s="163" t="s">
        <v>102</v>
      </c>
      <c r="E23" s="164" t="s">
        <v>103</v>
      </c>
      <c r="F23" s="164" t="s">
        <v>104</v>
      </c>
      <c r="G23" s="163" t="s">
        <v>96</v>
      </c>
      <c r="S23" s="114"/>
    </row>
    <row r="24" spans="1:19" ht="14.5" hidden="1">
      <c r="A24" s="149"/>
      <c r="B24" s="165" t="s">
        <v>105</v>
      </c>
      <c r="C24" s="163" t="str">
        <f>CONCATENATE(C21*100,B23)</f>
        <v>5,04%</v>
      </c>
      <c r="D24" s="163" t="str">
        <f>CONCATENATE(D21*100,B23)</f>
        <v>5,87%</v>
      </c>
      <c r="E24" s="163" t="str">
        <f>CONCATENATE(E20," ",B20,E21,B21,E22,B22)</f>
        <v>0,86 (0,74-0,99)</v>
      </c>
      <c r="F24" s="163" t="str">
        <f>CONCATENATE(F20*100,B23," ",B20,F21*100,B23," ",B24," ",F22*100,B23,B22)</f>
        <v>0,83% (0,04% a 1,51%)</v>
      </c>
      <c r="G24" s="163" t="str">
        <f>CONCATENATE(G20," ",B20,G21," ",B24," ",G22,B22)</f>
        <v>121 (66 a 2714)</v>
      </c>
      <c r="S24" s="114"/>
    </row>
    <row r="25" spans="1:19" ht="14.5" hidden="1">
      <c r="A25" s="166"/>
      <c r="B25" s="150"/>
      <c r="D25" s="111"/>
      <c r="E25" s="111"/>
      <c r="F25" s="111"/>
      <c r="G25" s="111"/>
      <c r="S25" s="114"/>
    </row>
    <row r="26" spans="1:19" ht="15" thickBot="1">
      <c r="A26" s="141">
        <f>A12*A13</f>
        <v>5.8698668571888296E-2</v>
      </c>
      <c r="B26" s="118" t="s">
        <v>106</v>
      </c>
      <c r="C26" s="1"/>
      <c r="S26" s="114"/>
    </row>
    <row r="27" spans="1:19" ht="15" thickBot="1">
      <c r="A27" s="167"/>
      <c r="B27" s="1"/>
      <c r="C27" s="168" t="s">
        <v>107</v>
      </c>
      <c r="D27" s="169" t="s">
        <v>102</v>
      </c>
      <c r="E27" s="169" t="s">
        <v>103</v>
      </c>
      <c r="F27" s="169" t="s">
        <v>95</v>
      </c>
      <c r="G27" s="170" t="s">
        <v>96</v>
      </c>
      <c r="S27" s="114"/>
    </row>
    <row r="28" spans="1:19" ht="26.5" thickBot="1">
      <c r="A28" s="171"/>
      <c r="B28" s="172"/>
      <c r="C28" s="173" t="str">
        <f>C24</f>
        <v>5,04%</v>
      </c>
      <c r="D28" s="174" t="str">
        <f>D24</f>
        <v>5,87%</v>
      </c>
      <c r="E28" s="174" t="str">
        <f>E24</f>
        <v>0,86 (0,74-0,99)</v>
      </c>
      <c r="F28" s="174" t="str">
        <f>F24</f>
        <v>0,83% (0,04% a 1,51%)</v>
      </c>
      <c r="G28" s="175" t="str">
        <f>G24</f>
        <v>121 (66 a 2714)</v>
      </c>
      <c r="S28" s="114"/>
    </row>
    <row r="29" spans="1:19" ht="14.5">
      <c r="B29" s="1"/>
      <c r="C29" s="1"/>
      <c r="E29" s="138"/>
      <c r="F29" s="10"/>
      <c r="S29" s="114"/>
    </row>
    <row r="30" spans="1:19" ht="15" thickBot="1">
      <c r="D30" s="138"/>
      <c r="E30" s="138"/>
      <c r="S30" s="114"/>
    </row>
    <row r="31" spans="1:19" ht="22.5" customHeight="1" thickBot="1">
      <c r="A31" s="650" t="s">
        <v>405</v>
      </c>
      <c r="B31" s="176" t="str">
        <f>B2</f>
        <v>Mortalidad por todas las causas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S31" s="114"/>
    </row>
    <row r="32" spans="1:19" ht="36" customHeight="1" thickBot="1">
      <c r="A32" s="690" t="s">
        <v>108</v>
      </c>
      <c r="B32" s="686" t="s">
        <v>109</v>
      </c>
      <c r="C32" s="692" t="s">
        <v>110</v>
      </c>
      <c r="D32" s="690" t="s">
        <v>431</v>
      </c>
      <c r="E32" s="686" t="s">
        <v>111</v>
      </c>
      <c r="F32" s="686" t="s">
        <v>112</v>
      </c>
      <c r="G32" s="686" t="s">
        <v>113</v>
      </c>
      <c r="H32" s="686" t="s">
        <v>114</v>
      </c>
      <c r="I32" s="686" t="s">
        <v>115</v>
      </c>
      <c r="J32" s="686" t="s">
        <v>116</v>
      </c>
      <c r="K32" s="688" t="s">
        <v>117</v>
      </c>
      <c r="L32" s="678" t="s">
        <v>118</v>
      </c>
      <c r="M32" s="679"/>
      <c r="N32" s="679"/>
      <c r="O32" s="680"/>
      <c r="S32" s="114"/>
    </row>
    <row r="33" spans="1:20" ht="43.5" customHeight="1" thickBot="1">
      <c r="A33" s="691"/>
      <c r="B33" s="687"/>
      <c r="C33" s="693"/>
      <c r="D33" s="691"/>
      <c r="E33" s="687"/>
      <c r="F33" s="687"/>
      <c r="G33" s="687"/>
      <c r="H33" s="687"/>
      <c r="I33" s="687"/>
      <c r="J33" s="687"/>
      <c r="K33" s="689"/>
      <c r="L33" s="179" t="s">
        <v>119</v>
      </c>
      <c r="M33" s="180" t="s">
        <v>95</v>
      </c>
      <c r="N33" s="181" t="s">
        <v>96</v>
      </c>
      <c r="O33" s="182" t="s">
        <v>120</v>
      </c>
      <c r="S33" s="114"/>
    </row>
    <row r="34" spans="1:20" ht="44" customHeight="1">
      <c r="A34" s="521">
        <v>9</v>
      </c>
      <c r="B34" s="183" t="str">
        <f>A5</f>
        <v>20190613-ECA CREDENCE 30m, ERC+100DM [Cana vs Pl], -ERT -MACE. Perkovic</v>
      </c>
      <c r="C34" s="184" t="s">
        <v>121</v>
      </c>
      <c r="D34" s="185"/>
      <c r="E34" s="186">
        <f>H5</f>
        <v>2.5</v>
      </c>
      <c r="F34" s="187" t="str">
        <f>P5</f>
        <v>168 / 2202</v>
      </c>
      <c r="G34" s="188">
        <f>L5</f>
        <v>3.0517711171662125E-2</v>
      </c>
      <c r="H34" s="187" t="str">
        <f>Q5</f>
        <v>201 / 2199</v>
      </c>
      <c r="I34" s="188">
        <f t="shared" ref="I34:J38" si="8">M5</f>
        <v>3.6562073669849933E-2</v>
      </c>
      <c r="J34" s="189">
        <f t="shared" si="8"/>
        <v>63</v>
      </c>
      <c r="K34" s="190">
        <v>0.26226770065509064</v>
      </c>
      <c r="L34" s="191" t="s">
        <v>237</v>
      </c>
      <c r="M34" s="192" t="s">
        <v>238</v>
      </c>
      <c r="N34" s="192" t="s">
        <v>239</v>
      </c>
      <c r="O34" s="195" t="s">
        <v>320</v>
      </c>
      <c r="Q34" s="26">
        <v>3</v>
      </c>
      <c r="R34" s="193">
        <f>Q34*K34</f>
        <v>0.78680310196527192</v>
      </c>
      <c r="S34" s="720" t="s">
        <v>439</v>
      </c>
      <c r="T34" s="119">
        <v>4</v>
      </c>
    </row>
    <row r="35" spans="1:20" ht="44" customHeight="1">
      <c r="A35" s="506"/>
      <c r="B35" s="183" t="str">
        <f>A6</f>
        <v>20201008-ECA DAPA-CKD 24m, ERC+67DM [Dapa vs Pl] –ERC -Mort. Heerspink</v>
      </c>
      <c r="C35" s="184" t="s">
        <v>121</v>
      </c>
      <c r="D35" s="185"/>
      <c r="E35" s="186">
        <f>H6</f>
        <v>2</v>
      </c>
      <c r="F35" s="187" t="str">
        <f>P6</f>
        <v>101 / 2152</v>
      </c>
      <c r="G35" s="188">
        <f>L6</f>
        <v>2.3466542750929367E-2</v>
      </c>
      <c r="H35" s="187" t="str">
        <f>Q6</f>
        <v>146 / 2152</v>
      </c>
      <c r="I35" s="188">
        <f t="shared" si="8"/>
        <v>3.3921933085501857E-2</v>
      </c>
      <c r="J35" s="189">
        <f t="shared" si="8"/>
        <v>61.8</v>
      </c>
      <c r="K35" s="190">
        <v>0.20554014552883174</v>
      </c>
      <c r="L35" s="191" t="s">
        <v>240</v>
      </c>
      <c r="M35" s="192" t="s">
        <v>241</v>
      </c>
      <c r="N35" s="192" t="s">
        <v>242</v>
      </c>
      <c r="O35" s="195" t="s">
        <v>319</v>
      </c>
      <c r="Q35" s="26">
        <v>3.5</v>
      </c>
      <c r="R35" s="193">
        <f t="shared" ref="R35:R37" si="9">Q35*K35</f>
        <v>0.71939050935091109</v>
      </c>
      <c r="S35" s="720" t="s">
        <v>320</v>
      </c>
      <c r="T35" s="119">
        <v>3</v>
      </c>
    </row>
    <row r="36" spans="1:20" ht="44" customHeight="1">
      <c r="A36" s="194"/>
      <c r="B36" s="183" t="str">
        <f>A7</f>
        <v>20210114-ECA SCORED 16m, ERC+100DM [Sota vs Pl], -InsCar =Mort yCV. Bhatt</v>
      </c>
      <c r="C36" s="184" t="s">
        <v>121</v>
      </c>
      <c r="D36" s="185"/>
      <c r="E36" s="186">
        <f>H7</f>
        <v>1.3333333333333333</v>
      </c>
      <c r="F36" s="187" t="str">
        <f>P7</f>
        <v>246 / 5292</v>
      </c>
      <c r="G36" s="188">
        <f>L7</f>
        <v>3.486394557823129E-2</v>
      </c>
      <c r="H36" s="187" t="str">
        <f>Q7</f>
        <v>246 / 5292</v>
      </c>
      <c r="I36" s="188">
        <f t="shared" si="8"/>
        <v>3.486394557823129E-2</v>
      </c>
      <c r="J36" s="189">
        <f t="shared" si="8"/>
        <v>69</v>
      </c>
      <c r="K36" s="190">
        <v>0.29395837306156863</v>
      </c>
      <c r="L36" s="191" t="s">
        <v>432</v>
      </c>
      <c r="M36" s="192" t="s">
        <v>243</v>
      </c>
      <c r="N36" s="662" t="s">
        <v>244</v>
      </c>
      <c r="O36" s="195" t="s">
        <v>320</v>
      </c>
      <c r="Q36" s="26">
        <v>3</v>
      </c>
      <c r="R36" s="193">
        <f t="shared" si="9"/>
        <v>0.88187511918470585</v>
      </c>
      <c r="S36" s="720" t="s">
        <v>440</v>
      </c>
      <c r="T36" s="119">
        <v>2</v>
      </c>
    </row>
    <row r="37" spans="1:20" ht="44" customHeight="1" thickBot="1">
      <c r="A37" s="194"/>
      <c r="B37" s="183" t="str">
        <f>A8</f>
        <v>20221104-ECA EMP-KN 24m, ERC [Empa vs Pl], -SLP-ERC =Mort. Herrington</v>
      </c>
      <c r="C37" s="184" t="s">
        <v>121</v>
      </c>
      <c r="D37" s="185"/>
      <c r="E37" s="186">
        <f>H8</f>
        <v>2</v>
      </c>
      <c r="F37" s="187" t="str">
        <f>P8</f>
        <v>148 / 3304</v>
      </c>
      <c r="G37" s="188">
        <f>L8</f>
        <v>2.2397094430992737E-2</v>
      </c>
      <c r="H37" s="187" t="str">
        <f>Q8</f>
        <v>167 / 3305</v>
      </c>
      <c r="I37" s="188">
        <f t="shared" si="8"/>
        <v>2.5264750378214827E-2</v>
      </c>
      <c r="J37" s="189">
        <f t="shared" si="8"/>
        <v>64</v>
      </c>
      <c r="K37" s="190">
        <v>0.23823378075450907</v>
      </c>
      <c r="L37" s="191" t="s">
        <v>433</v>
      </c>
      <c r="M37" s="192" t="s">
        <v>245</v>
      </c>
      <c r="N37" s="192" t="s">
        <v>246</v>
      </c>
      <c r="O37" s="195" t="s">
        <v>319</v>
      </c>
      <c r="Q37" s="26">
        <v>3.5</v>
      </c>
      <c r="R37" s="193">
        <f t="shared" si="9"/>
        <v>0.8338182326407817</v>
      </c>
      <c r="S37" s="720" t="s">
        <v>441</v>
      </c>
      <c r="T37" s="119">
        <v>1</v>
      </c>
    </row>
    <row r="38" spans="1:20" ht="21.5" thickBot="1">
      <c r="A38" s="196" t="s">
        <v>122</v>
      </c>
      <c r="B38" s="197">
        <f>COUNT(E34:E37)</f>
        <v>4</v>
      </c>
      <c r="C38" s="198"/>
      <c r="D38" s="199" t="s">
        <v>247</v>
      </c>
      <c r="E38" s="200">
        <f>H9</f>
        <v>1.8125144798826165</v>
      </c>
      <c r="F38" s="201" t="str">
        <f>P9</f>
        <v>663 / 12950</v>
      </c>
      <c r="G38" s="202">
        <f>L9</f>
        <v>2.8245217909939078E-2</v>
      </c>
      <c r="H38" s="201" t="str">
        <f>Q9</f>
        <v>760 / 12948</v>
      </c>
      <c r="I38" s="202">
        <f t="shared" si="8"/>
        <v>3.2385213593267285E-2</v>
      </c>
      <c r="J38" s="200">
        <f t="shared" si="8"/>
        <v>65.507846165727088</v>
      </c>
      <c r="K38" s="203">
        <v>1</v>
      </c>
      <c r="L38" s="507" t="s">
        <v>248</v>
      </c>
      <c r="M38" s="204"/>
      <c r="N38" s="205"/>
      <c r="O38" s="485" t="s">
        <v>320</v>
      </c>
      <c r="R38" s="206">
        <f>SUM(R34:R37)</f>
        <v>3.2218869631416704</v>
      </c>
      <c r="S38" s="114"/>
    </row>
    <row r="39" spans="1:20" ht="21.5" customHeight="1" thickBot="1">
      <c r="A39" s="207"/>
      <c r="B39" s="207"/>
      <c r="C39" s="208"/>
      <c r="D39" s="479" t="s">
        <v>227</v>
      </c>
      <c r="E39" s="210"/>
      <c r="F39" s="211"/>
      <c r="G39" s="212"/>
      <c r="H39" s="211"/>
      <c r="I39" s="213"/>
      <c r="J39" s="214"/>
      <c r="K39" s="480"/>
      <c r="L39" s="481"/>
      <c r="M39" s="482"/>
      <c r="N39" s="483" t="s">
        <v>228</v>
      </c>
      <c r="O39" s="484" t="s">
        <v>321</v>
      </c>
    </row>
    <row r="40" spans="1:20" ht="13.5" thickBot="1">
      <c r="A40" s="207"/>
      <c r="B40" s="207"/>
      <c r="C40" s="208"/>
      <c r="D40" s="209"/>
      <c r="E40" s="210"/>
      <c r="F40" s="211"/>
      <c r="G40" s="212"/>
      <c r="H40" s="211"/>
      <c r="I40" s="213"/>
      <c r="J40" s="214"/>
      <c r="K40" s="215"/>
      <c r="L40" s="204"/>
      <c r="M40" s="205"/>
      <c r="N40" s="205"/>
      <c r="O40" s="215"/>
    </row>
    <row r="41" spans="1:20" ht="47" thickBot="1">
      <c r="A41" s="216"/>
      <c r="B41" s="681" t="s">
        <v>123</v>
      </c>
      <c r="C41" s="682"/>
      <c r="D41" s="682"/>
      <c r="E41" s="682"/>
      <c r="F41" s="682"/>
      <c r="G41" s="682"/>
      <c r="H41" s="682"/>
      <c r="I41" s="683"/>
      <c r="J41" s="217" t="s">
        <v>124</v>
      </c>
      <c r="K41" s="218" t="s">
        <v>125</v>
      </c>
      <c r="L41" s="219" t="s">
        <v>119</v>
      </c>
      <c r="M41" s="220" t="s">
        <v>95</v>
      </c>
      <c r="N41" s="221" t="s">
        <v>96</v>
      </c>
      <c r="O41" s="205"/>
    </row>
    <row r="42" spans="1:20" ht="19.5" customHeight="1">
      <c r="A42" s="684" t="s">
        <v>126</v>
      </c>
      <c r="B42" s="222" t="s">
        <v>127</v>
      </c>
      <c r="C42" s="223">
        <f>I38</f>
        <v>3.2385213593267285E-2</v>
      </c>
      <c r="D42" s="224" t="s">
        <v>128</v>
      </c>
      <c r="E42" s="224"/>
      <c r="F42" s="224"/>
      <c r="G42" s="224"/>
      <c r="H42" s="225">
        <f>J38</f>
        <v>65.507846165727088</v>
      </c>
      <c r="I42" s="226" t="s">
        <v>129</v>
      </c>
      <c r="J42" s="227" t="s">
        <v>249</v>
      </c>
      <c r="K42" s="228" t="s">
        <v>250</v>
      </c>
      <c r="L42" s="508" t="s">
        <v>248</v>
      </c>
      <c r="M42" s="229" t="s">
        <v>251</v>
      </c>
      <c r="N42" s="509" t="s">
        <v>252</v>
      </c>
      <c r="O42" s="230" t="s">
        <v>130</v>
      </c>
    </row>
    <row r="43" spans="1:20" ht="19" thickBot="1">
      <c r="A43" s="685"/>
      <c r="B43" s="231" t="s">
        <v>127</v>
      </c>
      <c r="C43" s="232">
        <f>I38*E38</f>
        <v>5.8698668571888296E-2</v>
      </c>
      <c r="D43" s="233" t="s">
        <v>131</v>
      </c>
      <c r="E43" s="234"/>
      <c r="F43" s="235"/>
      <c r="G43" s="719">
        <f>E38</f>
        <v>1.8125144798826165</v>
      </c>
      <c r="H43" s="233" t="s">
        <v>132</v>
      </c>
      <c r="I43" s="237"/>
      <c r="J43" s="238" t="s">
        <v>253</v>
      </c>
      <c r="K43" s="239" t="s">
        <v>254</v>
      </c>
      <c r="L43" s="510" t="s">
        <v>248</v>
      </c>
      <c r="M43" s="240" t="s">
        <v>255</v>
      </c>
      <c r="N43" s="511" t="s">
        <v>256</v>
      </c>
      <c r="O43" s="241" t="s">
        <v>297</v>
      </c>
    </row>
    <row r="44" spans="1:20" ht="19" thickBot="1">
      <c r="A44" s="242"/>
      <c r="B44" s="243"/>
      <c r="C44" s="244"/>
      <c r="D44" s="245"/>
      <c r="E44" s="246"/>
      <c r="F44" s="247"/>
      <c r="G44" s="248"/>
      <c r="H44" s="245"/>
      <c r="I44" s="247"/>
      <c r="J44" s="249"/>
      <c r="K44" s="249"/>
      <c r="L44" s="250"/>
      <c r="M44" s="251"/>
      <c r="N44" s="251"/>
      <c r="O44" s="252"/>
    </row>
    <row r="45" spans="1:20" ht="19" thickBot="1">
      <c r="A45" s="253"/>
      <c r="B45" s="253"/>
      <c r="C45" s="215"/>
      <c r="D45" s="215"/>
      <c r="E45" s="215"/>
      <c r="F45" s="215"/>
      <c r="G45" s="215"/>
      <c r="H45" s="215"/>
      <c r="I45" s="254"/>
      <c r="J45" s="255"/>
      <c r="K45" s="256" t="s">
        <v>133</v>
      </c>
      <c r="L45" s="512" t="s">
        <v>257</v>
      </c>
      <c r="M45" s="257"/>
      <c r="N45" s="258"/>
      <c r="O45" s="259"/>
    </row>
    <row r="46" spans="1:20">
      <c r="A46" s="111"/>
      <c r="C46" s="1"/>
      <c r="I46" s="108" t="s">
        <v>134</v>
      </c>
      <c r="J46" s="260">
        <f>G43</f>
        <v>1.8125144798826165</v>
      </c>
      <c r="K46" s="260">
        <f>J46</f>
        <v>1.8125144798826165</v>
      </c>
    </row>
    <row r="47" spans="1:20">
      <c r="A47" s="111"/>
      <c r="C47" s="1"/>
      <c r="I47" s="14"/>
      <c r="J47" s="3" t="s">
        <v>84</v>
      </c>
      <c r="K47" s="3" t="s">
        <v>85</v>
      </c>
      <c r="L47" s="3" t="s">
        <v>135</v>
      </c>
    </row>
    <row r="48" spans="1:20" ht="17">
      <c r="I48" s="261" t="s">
        <v>258</v>
      </c>
      <c r="J48" s="513">
        <f>J42*100*J46</f>
        <v>5.0387902540736738</v>
      </c>
      <c r="K48" s="514">
        <f>K42*100*K46</f>
        <v>5.8725469148196767</v>
      </c>
      <c r="L48" s="515">
        <f>((J48*I9)+(K48*J9))/K9</f>
        <v>5.4556197389759831</v>
      </c>
      <c r="M48" s="262"/>
      <c r="N48" s="262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</sheetData>
  <mergeCells count="19">
    <mergeCell ref="B3:D3"/>
    <mergeCell ref="E3:G3"/>
    <mergeCell ref="I3:K3"/>
    <mergeCell ref="L3:M3"/>
    <mergeCell ref="D11:F11"/>
    <mergeCell ref="L32:O32"/>
    <mergeCell ref="B41:I41"/>
    <mergeCell ref="A42:A43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portrait" r:id="rId1"/>
  <ignoredErrors>
    <ignoredError sqref="H9" formula="1"/>
    <ignoredError sqref="J42:K4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6446E-49EC-4486-BE44-A7972A46B2D1}">
  <dimension ref="A1:S67"/>
  <sheetViews>
    <sheetView zoomScale="70" zoomScaleNormal="70" workbookViewId="0"/>
  </sheetViews>
  <sheetFormatPr baseColWidth="10" defaultColWidth="16" defaultRowHeight="13"/>
  <cols>
    <col min="1" max="1" width="22.26953125" style="1" customWidth="1"/>
    <col min="2" max="2" width="23.54296875" style="111" customWidth="1"/>
    <col min="3" max="3" width="15" style="111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4"/>
    </row>
    <row r="2" spans="1:19" ht="20.25" customHeight="1">
      <c r="A2" s="115" t="s">
        <v>76</v>
      </c>
      <c r="B2" s="116" t="str">
        <f>A4</f>
        <v>Mortalidad por causa cardiovascular</v>
      </c>
      <c r="C2" s="117"/>
      <c r="O2" s="118"/>
      <c r="P2" s="119"/>
    </row>
    <row r="3" spans="1:19" ht="26">
      <c r="A3" s="12" t="s">
        <v>6</v>
      </c>
      <c r="B3" s="694" t="s">
        <v>77</v>
      </c>
      <c r="C3" s="695"/>
      <c r="D3" s="696"/>
      <c r="E3" s="694" t="s">
        <v>78</v>
      </c>
      <c r="F3" s="695"/>
      <c r="G3" s="696"/>
      <c r="H3" s="120" t="s">
        <v>79</v>
      </c>
      <c r="I3" s="694" t="s">
        <v>80</v>
      </c>
      <c r="J3" s="695"/>
      <c r="K3" s="696"/>
      <c r="L3" s="694" t="s">
        <v>81</v>
      </c>
      <c r="M3" s="696"/>
      <c r="N3" s="121" t="s">
        <v>82</v>
      </c>
      <c r="O3" s="119"/>
    </row>
    <row r="4" spans="1:19" ht="26">
      <c r="A4" s="503" t="s">
        <v>373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22" t="s">
        <v>83</v>
      </c>
      <c r="I4" s="123" t="s">
        <v>84</v>
      </c>
      <c r="J4" s="124" t="s">
        <v>85</v>
      </c>
      <c r="K4" s="123" t="s">
        <v>11</v>
      </c>
      <c r="L4" s="125" t="s">
        <v>84</v>
      </c>
      <c r="M4" s="126" t="s">
        <v>86</v>
      </c>
      <c r="N4" s="127" t="s">
        <v>83</v>
      </c>
      <c r="O4" s="663"/>
      <c r="P4" s="664" t="s">
        <v>87</v>
      </c>
      <c r="Q4" s="664" t="s">
        <v>87</v>
      </c>
    </row>
    <row r="5" spans="1:19">
      <c r="A5" s="28" t="s">
        <v>434</v>
      </c>
      <c r="B5" s="29">
        <v>110</v>
      </c>
      <c r="C5" s="30">
        <v>2092</v>
      </c>
      <c r="D5" s="31">
        <v>2202</v>
      </c>
      <c r="E5" s="29">
        <v>140</v>
      </c>
      <c r="F5" s="30">
        <v>2059</v>
      </c>
      <c r="G5" s="31">
        <v>2199</v>
      </c>
      <c r="H5" s="128">
        <f>30/12</f>
        <v>2.5</v>
      </c>
      <c r="I5" s="129">
        <f t="shared" ref="I5:I8" si="0">D5*H5</f>
        <v>5505</v>
      </c>
      <c r="J5" s="129">
        <f t="shared" ref="J5:J8" si="1">G5*H5</f>
        <v>5497.5</v>
      </c>
      <c r="K5" s="129">
        <f>I5+J5</f>
        <v>11002.5</v>
      </c>
      <c r="L5" s="130">
        <f t="shared" ref="L5:L9" si="2">B5/I5</f>
        <v>1.9981834695731154E-2</v>
      </c>
      <c r="M5" s="130">
        <f t="shared" ref="M5:M9" si="3">E5/J5</f>
        <v>2.5466120964074579E-2</v>
      </c>
      <c r="N5" s="131">
        <v>63</v>
      </c>
      <c r="O5" s="665">
        <f>N5*(D5+G5)</f>
        <v>277263</v>
      </c>
      <c r="P5" s="663" t="str">
        <f t="shared" ref="P5:P9" si="4">CONCATENATE(B5," ",$P$4," ",D5)</f>
        <v>110 / 2202</v>
      </c>
      <c r="Q5" s="663" t="str">
        <f t="shared" ref="Q5:Q9" si="5">CONCATENATE(E5," ",$Q$4," ",G5)</f>
        <v>140 / 2199</v>
      </c>
    </row>
    <row r="6" spans="1:19">
      <c r="A6" s="28" t="s">
        <v>435</v>
      </c>
      <c r="B6" s="29">
        <v>62</v>
      </c>
      <c r="C6" s="30">
        <v>2090</v>
      </c>
      <c r="D6" s="31">
        <v>2152</v>
      </c>
      <c r="E6" s="29">
        <v>80</v>
      </c>
      <c r="F6" s="30">
        <v>2072</v>
      </c>
      <c r="G6" s="31">
        <v>2152</v>
      </c>
      <c r="H6" s="128">
        <v>2</v>
      </c>
      <c r="I6" s="129">
        <f t="shared" si="0"/>
        <v>4304</v>
      </c>
      <c r="J6" s="129">
        <f t="shared" si="1"/>
        <v>4304</v>
      </c>
      <c r="K6" s="129">
        <f t="shared" ref="K6:K8" si="6">I6+J6</f>
        <v>8608</v>
      </c>
      <c r="L6" s="130">
        <f t="shared" si="2"/>
        <v>1.4405204460966542E-2</v>
      </c>
      <c r="M6" s="130">
        <f t="shared" si="3"/>
        <v>1.858736059479554E-2</v>
      </c>
      <c r="N6" s="131">
        <v>61.8</v>
      </c>
      <c r="O6" s="665">
        <f t="shared" ref="O6:O8" si="7">N6*(D6+G6)</f>
        <v>265987.20000000001</v>
      </c>
      <c r="P6" s="663" t="str">
        <f t="shared" si="4"/>
        <v>62 / 2152</v>
      </c>
      <c r="Q6" s="663" t="str">
        <f t="shared" si="5"/>
        <v>80 / 2152</v>
      </c>
    </row>
    <row r="7" spans="1:19">
      <c r="A7" s="28" t="s">
        <v>436</v>
      </c>
      <c r="B7" s="29">
        <v>155</v>
      </c>
      <c r="C7" s="30">
        <v>5137</v>
      </c>
      <c r="D7" s="31">
        <v>5292</v>
      </c>
      <c r="E7" s="29">
        <v>170</v>
      </c>
      <c r="F7" s="30">
        <v>5122</v>
      </c>
      <c r="G7" s="31">
        <v>5292</v>
      </c>
      <c r="H7" s="128">
        <f>16/12</f>
        <v>1.3333333333333333</v>
      </c>
      <c r="I7" s="129">
        <f t="shared" si="0"/>
        <v>7056</v>
      </c>
      <c r="J7" s="129">
        <f t="shared" si="1"/>
        <v>7056</v>
      </c>
      <c r="K7" s="129">
        <f t="shared" si="6"/>
        <v>14112</v>
      </c>
      <c r="L7" s="130">
        <f t="shared" si="2"/>
        <v>2.1967120181405897E-2</v>
      </c>
      <c r="M7" s="130">
        <f t="shared" si="3"/>
        <v>2.409297052154195E-2</v>
      </c>
      <c r="N7" s="131">
        <v>69</v>
      </c>
      <c r="O7" s="665">
        <f t="shared" si="7"/>
        <v>730296</v>
      </c>
      <c r="P7" s="663" t="str">
        <f t="shared" si="4"/>
        <v>155 / 5292</v>
      </c>
      <c r="Q7" s="663" t="str">
        <f t="shared" si="5"/>
        <v>170 / 5292</v>
      </c>
    </row>
    <row r="8" spans="1:19">
      <c r="A8" s="28" t="s">
        <v>438</v>
      </c>
      <c r="B8" s="29">
        <v>59</v>
      </c>
      <c r="C8" s="30">
        <v>3245</v>
      </c>
      <c r="D8" s="31">
        <v>3304</v>
      </c>
      <c r="E8" s="29">
        <v>69</v>
      </c>
      <c r="F8" s="30">
        <v>3236</v>
      </c>
      <c r="G8" s="31">
        <v>3305</v>
      </c>
      <c r="H8" s="128">
        <v>2</v>
      </c>
      <c r="I8" s="129">
        <f t="shared" si="0"/>
        <v>6608</v>
      </c>
      <c r="J8" s="129">
        <f t="shared" si="1"/>
        <v>6610</v>
      </c>
      <c r="K8" s="129">
        <f t="shared" si="6"/>
        <v>13218</v>
      </c>
      <c r="L8" s="130">
        <f t="shared" si="2"/>
        <v>8.9285714285714281E-3</v>
      </c>
      <c r="M8" s="130">
        <f t="shared" si="3"/>
        <v>1.0438729198184568E-2</v>
      </c>
      <c r="N8" s="131">
        <v>64</v>
      </c>
      <c r="O8" s="665">
        <f t="shared" si="7"/>
        <v>422976</v>
      </c>
      <c r="P8" s="663" t="str">
        <f t="shared" si="4"/>
        <v>59 / 3304</v>
      </c>
      <c r="Q8" s="663" t="str">
        <f t="shared" si="5"/>
        <v>69 / 3305</v>
      </c>
    </row>
    <row r="9" spans="1:19">
      <c r="A9" s="504">
        <f>COUNT(D5:D8)</f>
        <v>4</v>
      </c>
      <c r="B9" s="132">
        <f>SUM(B5:B8)</f>
        <v>386</v>
      </c>
      <c r="C9" s="133">
        <v>23009</v>
      </c>
      <c r="D9" s="132">
        <f>SUM(D5:D8)</f>
        <v>12950</v>
      </c>
      <c r="E9" s="132">
        <f>SUM(E5:E8)</f>
        <v>459</v>
      </c>
      <c r="F9" s="133">
        <v>28669.98</v>
      </c>
      <c r="G9" s="132">
        <f>SUM(G5:G8)</f>
        <v>12948</v>
      </c>
      <c r="H9" s="522">
        <f>K9/(D9+G9)</f>
        <v>1.8125144798826165</v>
      </c>
      <c r="I9" s="135">
        <f>SUM(I5:I8)</f>
        <v>23473</v>
      </c>
      <c r="J9" s="135">
        <f>SUM(J5:J8)</f>
        <v>23467.5</v>
      </c>
      <c r="K9" s="135">
        <f>SUM(K5:K8)</f>
        <v>46940.5</v>
      </c>
      <c r="L9" s="136">
        <f t="shared" si="2"/>
        <v>1.644442551016061E-2</v>
      </c>
      <c r="M9" s="136">
        <f t="shared" si="3"/>
        <v>1.955896452540748E-2</v>
      </c>
      <c r="N9" s="137">
        <f>O9/(D9+G9)</f>
        <v>65.507846165727088</v>
      </c>
      <c r="O9" s="666">
        <f>SUM(O5:O8)</f>
        <v>1696522.2</v>
      </c>
      <c r="P9" s="667" t="str">
        <f t="shared" si="4"/>
        <v>386 / 12950</v>
      </c>
      <c r="Q9" s="667" t="str">
        <f t="shared" si="5"/>
        <v>459 / 12948</v>
      </c>
    </row>
    <row r="10" spans="1:19" ht="15" thickBot="1">
      <c r="B10" s="1"/>
      <c r="C10" s="1"/>
      <c r="E10" s="138"/>
      <c r="F10" s="10"/>
      <c r="S10" s="114"/>
    </row>
    <row r="11" spans="1:19" ht="15" thickBot="1">
      <c r="B11" s="139" t="s">
        <v>88</v>
      </c>
      <c r="C11" s="140">
        <v>3.5450906413811482E-2</v>
      </c>
      <c r="D11" s="697" t="s">
        <v>89</v>
      </c>
      <c r="E11" s="698"/>
      <c r="F11" s="699"/>
      <c r="H11" s="96"/>
      <c r="S11" s="114"/>
    </row>
    <row r="12" spans="1:19" ht="26.5" thickBot="1">
      <c r="A12" s="141">
        <f>I38</f>
        <v>1.955896452540748E-2</v>
      </c>
      <c r="B12" s="118" t="s">
        <v>90</v>
      </c>
      <c r="C12" s="14"/>
      <c r="D12" s="142" t="s">
        <v>91</v>
      </c>
      <c r="E12" s="143" t="s">
        <v>92</v>
      </c>
      <c r="F12" s="142" t="s">
        <v>93</v>
      </c>
      <c r="S12" s="114"/>
    </row>
    <row r="13" spans="1:19" ht="15" thickBot="1">
      <c r="A13" s="144">
        <f>E38</f>
        <v>1.8125144798826165</v>
      </c>
      <c r="B13" s="145" t="s">
        <v>94</v>
      </c>
      <c r="C13" s="14"/>
      <c r="D13" s="146">
        <v>0.84033736671143955</v>
      </c>
      <c r="E13" s="147">
        <v>0.73574388316851536</v>
      </c>
      <c r="F13" s="148">
        <v>0.95980222311798102</v>
      </c>
      <c r="G13" s="14"/>
      <c r="S13" s="114"/>
    </row>
    <row r="14" spans="1:19" ht="14.5" hidden="1">
      <c r="A14" s="149"/>
      <c r="B14" s="150"/>
      <c r="C14" s="1"/>
      <c r="S14" s="114"/>
    </row>
    <row r="15" spans="1:19" ht="14.5" hidden="1">
      <c r="A15" s="149"/>
      <c r="B15" s="150"/>
      <c r="C15" s="545" t="s">
        <v>371</v>
      </c>
      <c r="D15" s="546">
        <f>C11*D13</f>
        <v>2.9790721343316024E-2</v>
      </c>
      <c r="E15" s="546">
        <f>C11*E13</f>
        <v>2.6082787546741287E-2</v>
      </c>
      <c r="F15" s="546">
        <f>C11*F13</f>
        <v>3.4025858787523754E-2</v>
      </c>
      <c r="S15" s="114"/>
    </row>
    <row r="16" spans="1:19" ht="14.5" hidden="1">
      <c r="A16" s="149"/>
      <c r="B16" s="150"/>
      <c r="C16" s="544"/>
      <c r="S16" s="114"/>
    </row>
    <row r="17" spans="1:19" ht="14.5" hidden="1">
      <c r="A17" s="149"/>
      <c r="B17" s="150"/>
      <c r="C17" s="547" t="s">
        <v>95</v>
      </c>
      <c r="D17" s="548">
        <f>C11-D15</f>
        <v>5.6601850704954583E-3</v>
      </c>
      <c r="E17" s="549">
        <f>C11-F15</f>
        <v>1.4250476262877287E-3</v>
      </c>
      <c r="F17" s="549">
        <f>C11-E15</f>
        <v>9.3681188670701951E-3</v>
      </c>
      <c r="S17" s="114"/>
    </row>
    <row r="18" spans="1:19" ht="14.5" hidden="1">
      <c r="A18" s="149"/>
      <c r="B18" s="150"/>
      <c r="C18" s="547" t="s">
        <v>96</v>
      </c>
      <c r="D18" s="550">
        <f>1/D17</f>
        <v>176.67266839253122</v>
      </c>
      <c r="E18" s="550">
        <f>1/F17</f>
        <v>106.74501617556248</v>
      </c>
      <c r="F18" s="550">
        <f>1/E17</f>
        <v>701.73093274434314</v>
      </c>
      <c r="S18" s="114"/>
    </row>
    <row r="19" spans="1:19" ht="14.5" hidden="1">
      <c r="A19" s="149"/>
      <c r="B19" s="150"/>
      <c r="C19" s="14"/>
      <c r="D19" s="14"/>
      <c r="E19" s="14"/>
      <c r="F19" s="14"/>
      <c r="S19" s="114"/>
    </row>
    <row r="20" spans="1:19" ht="14.5" hidden="1">
      <c r="A20" s="149"/>
      <c r="B20" s="151" t="s">
        <v>97</v>
      </c>
      <c r="C20" s="152"/>
      <c r="D20" s="152"/>
      <c r="E20" s="153">
        <f>ROUND(D13,2)</f>
        <v>0.84</v>
      </c>
      <c r="F20" s="154">
        <f>ROUND(D17,4)</f>
        <v>5.7000000000000002E-3</v>
      </c>
      <c r="G20" s="155">
        <f>ROUND(D18,0)</f>
        <v>177</v>
      </c>
      <c r="S20" s="114"/>
    </row>
    <row r="21" spans="1:19" ht="14.5" hidden="1">
      <c r="A21" s="149"/>
      <c r="B21" s="156" t="s">
        <v>98</v>
      </c>
      <c r="C21" s="157">
        <f>ROUND(D15,4)</f>
        <v>2.98E-2</v>
      </c>
      <c r="D21" s="158">
        <f>ROUND(C11,4)</f>
        <v>3.5499999999999997E-2</v>
      </c>
      <c r="E21" s="159">
        <f>ROUND(E13,2)</f>
        <v>0.74</v>
      </c>
      <c r="F21" s="160">
        <f>ROUND(E17,4)</f>
        <v>1.4E-3</v>
      </c>
      <c r="G21" s="161">
        <f>ROUND(E18,0)</f>
        <v>107</v>
      </c>
      <c r="S21" s="114"/>
    </row>
    <row r="22" spans="1:19" ht="14.5" hidden="1">
      <c r="A22" s="149"/>
      <c r="B22" s="156" t="s">
        <v>99</v>
      </c>
      <c r="C22" s="162"/>
      <c r="D22" s="162"/>
      <c r="E22" s="159">
        <f>ROUND(F13,2)</f>
        <v>0.96</v>
      </c>
      <c r="F22" s="160">
        <f>ROUND(F17,4)</f>
        <v>9.4000000000000004E-3</v>
      </c>
      <c r="G22" s="161">
        <f>ROUND(F18,0)</f>
        <v>702</v>
      </c>
      <c r="S22" s="114"/>
    </row>
    <row r="23" spans="1:19" ht="14.5" hidden="1">
      <c r="A23" s="149"/>
      <c r="B23" s="156" t="s">
        <v>100</v>
      </c>
      <c r="C23" s="163" t="s">
        <v>101</v>
      </c>
      <c r="D23" s="163" t="s">
        <v>102</v>
      </c>
      <c r="E23" s="164" t="s">
        <v>103</v>
      </c>
      <c r="F23" s="164" t="s">
        <v>104</v>
      </c>
      <c r="G23" s="163" t="s">
        <v>96</v>
      </c>
      <c r="S23" s="114"/>
    </row>
    <row r="24" spans="1:19" ht="14.5" hidden="1">
      <c r="A24" s="149"/>
      <c r="B24" s="165" t="s">
        <v>105</v>
      </c>
      <c r="C24" s="163" t="str">
        <f>CONCATENATE(C21*100,B23)</f>
        <v>2,98%</v>
      </c>
      <c r="D24" s="163" t="str">
        <f>CONCATENATE(D21*100,B23)</f>
        <v>3,55%</v>
      </c>
      <c r="E24" s="163" t="str">
        <f>CONCATENATE(E20," ",B20,E21,B21,E22,B22)</f>
        <v>0,84 (0,74-0,96)</v>
      </c>
      <c r="F24" s="163" t="str">
        <f>CONCATENATE(F20*100,B23," ",B20,F21*100,B23," ",B24," ",F22*100,B23,B22)</f>
        <v>0,57% (0,14% a 0,94%)</v>
      </c>
      <c r="G24" s="163" t="str">
        <f>CONCATENATE(G20," ",B20,G21," ",B24," ",G22,B22)</f>
        <v>177 (107 a 702)</v>
      </c>
      <c r="S24" s="114"/>
    </row>
    <row r="25" spans="1:19" ht="14.5" hidden="1">
      <c r="A25" s="166"/>
      <c r="B25" s="150"/>
      <c r="D25" s="111"/>
      <c r="E25" s="111"/>
      <c r="F25" s="111"/>
      <c r="G25" s="111"/>
      <c r="S25" s="114"/>
    </row>
    <row r="26" spans="1:19" ht="15" thickBot="1">
      <c r="A26" s="141">
        <f>A12*A13</f>
        <v>3.5450906413811482E-2</v>
      </c>
      <c r="B26" s="118" t="s">
        <v>106</v>
      </c>
      <c r="C26" s="1"/>
      <c r="S26" s="114"/>
    </row>
    <row r="27" spans="1:19" ht="15" thickBot="1">
      <c r="A27" s="167"/>
      <c r="B27" s="1"/>
      <c r="C27" s="168" t="s">
        <v>107</v>
      </c>
      <c r="D27" s="169" t="s">
        <v>102</v>
      </c>
      <c r="E27" s="169" t="s">
        <v>103</v>
      </c>
      <c r="F27" s="169" t="s">
        <v>95</v>
      </c>
      <c r="G27" s="170" t="s">
        <v>96</v>
      </c>
      <c r="S27" s="114"/>
    </row>
    <row r="28" spans="1:19" ht="26.5" thickBot="1">
      <c r="A28" s="171"/>
      <c r="B28" s="172"/>
      <c r="C28" s="173" t="str">
        <f>C24</f>
        <v>2,98%</v>
      </c>
      <c r="D28" s="174" t="str">
        <f>D24</f>
        <v>3,55%</v>
      </c>
      <c r="E28" s="174" t="str">
        <f>E24</f>
        <v>0,84 (0,74-0,96)</v>
      </c>
      <c r="F28" s="174" t="str">
        <f>F24</f>
        <v>0,57% (0,14% a 0,94%)</v>
      </c>
      <c r="G28" s="175" t="str">
        <f>G24</f>
        <v>177 (107 a 702)</v>
      </c>
      <c r="S28" s="114"/>
    </row>
    <row r="29" spans="1:19" ht="14.5">
      <c r="B29" s="1"/>
      <c r="C29" s="1"/>
      <c r="E29" s="138"/>
      <c r="F29" s="10"/>
      <c r="S29" s="114"/>
    </row>
    <row r="30" spans="1:19" ht="15" thickBot="1">
      <c r="D30" s="138"/>
      <c r="E30" s="138"/>
      <c r="S30" s="114"/>
    </row>
    <row r="31" spans="1:19" ht="22.5" customHeight="1" thickBot="1">
      <c r="A31" s="650" t="s">
        <v>406</v>
      </c>
      <c r="B31" s="176" t="str">
        <f>B2</f>
        <v>Mortalidad por causa cardiovascular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S31" s="114"/>
    </row>
    <row r="32" spans="1:19" ht="36" customHeight="1" thickBot="1">
      <c r="A32" s="690" t="s">
        <v>108</v>
      </c>
      <c r="B32" s="686" t="s">
        <v>109</v>
      </c>
      <c r="C32" s="692" t="s">
        <v>110</v>
      </c>
      <c r="D32" s="690" t="s">
        <v>283</v>
      </c>
      <c r="E32" s="686" t="s">
        <v>111</v>
      </c>
      <c r="F32" s="686" t="s">
        <v>112</v>
      </c>
      <c r="G32" s="686" t="s">
        <v>113</v>
      </c>
      <c r="H32" s="686" t="s">
        <v>114</v>
      </c>
      <c r="I32" s="686" t="s">
        <v>115</v>
      </c>
      <c r="J32" s="686" t="s">
        <v>116</v>
      </c>
      <c r="K32" s="688" t="s">
        <v>117</v>
      </c>
      <c r="L32" s="678" t="s">
        <v>118</v>
      </c>
      <c r="M32" s="679"/>
      <c r="N32" s="679"/>
      <c r="O32" s="680"/>
      <c r="S32" s="114"/>
    </row>
    <row r="33" spans="1:19" ht="43.5" customHeight="1" thickBot="1">
      <c r="A33" s="691"/>
      <c r="B33" s="687"/>
      <c r="C33" s="693"/>
      <c r="D33" s="691"/>
      <c r="E33" s="687"/>
      <c r="F33" s="687"/>
      <c r="G33" s="687"/>
      <c r="H33" s="687"/>
      <c r="I33" s="687"/>
      <c r="J33" s="687"/>
      <c r="K33" s="689"/>
      <c r="L33" s="179" t="s">
        <v>119</v>
      </c>
      <c r="M33" s="180" t="s">
        <v>95</v>
      </c>
      <c r="N33" s="181" t="s">
        <v>96</v>
      </c>
      <c r="O33" s="182" t="s">
        <v>120</v>
      </c>
      <c r="S33" s="114"/>
    </row>
    <row r="34" spans="1:19" ht="44" customHeight="1">
      <c r="A34" s="521">
        <v>9</v>
      </c>
      <c r="B34" s="183" t="str">
        <f>A5</f>
        <v>20190613-ECA CREDENCE 30m, ERC+100DM [Cana vs Pl], -ERT -MACE. Perkovic</v>
      </c>
      <c r="C34" s="184" t="s">
        <v>121</v>
      </c>
      <c r="D34" s="185"/>
      <c r="E34" s="186">
        <f>H5</f>
        <v>2.5</v>
      </c>
      <c r="F34" s="187" t="str">
        <f>P5</f>
        <v>110 / 2202</v>
      </c>
      <c r="G34" s="188">
        <f>L5</f>
        <v>1.9981834695731154E-2</v>
      </c>
      <c r="H34" s="187" t="str">
        <f>Q5</f>
        <v>140 / 2199</v>
      </c>
      <c r="I34" s="188">
        <f t="shared" ref="I34:J38" si="8">M5</f>
        <v>2.5466120964074579E-2</v>
      </c>
      <c r="J34" s="189">
        <f t="shared" si="8"/>
        <v>63</v>
      </c>
      <c r="K34" s="190">
        <v>0.30012092632963305</v>
      </c>
      <c r="L34" s="191" t="s">
        <v>259</v>
      </c>
      <c r="M34" s="192" t="s">
        <v>260</v>
      </c>
      <c r="N34" s="192" t="s">
        <v>261</v>
      </c>
      <c r="O34" s="195" t="s">
        <v>320</v>
      </c>
      <c r="Q34" s="26">
        <v>3</v>
      </c>
      <c r="R34" s="193">
        <f>Q34*K34</f>
        <v>0.90036277898889916</v>
      </c>
      <c r="S34" s="114"/>
    </row>
    <row r="35" spans="1:19" ht="44" customHeight="1">
      <c r="A35" s="506"/>
      <c r="B35" s="183" t="str">
        <f>A6</f>
        <v>20201008-ECA DAPA-CKD 24m, ERC+67DM [Dapa vs Pl] –ERC -Mort. Heerspink</v>
      </c>
      <c r="C35" s="184" t="s">
        <v>121</v>
      </c>
      <c r="D35" s="185"/>
      <c r="E35" s="186">
        <f>H6</f>
        <v>2</v>
      </c>
      <c r="F35" s="187" t="str">
        <f>P6</f>
        <v>62 / 2152</v>
      </c>
      <c r="G35" s="188">
        <f>L6</f>
        <v>1.4405204460966542E-2</v>
      </c>
      <c r="H35" s="187" t="str">
        <f>Q6</f>
        <v>80 / 2152</v>
      </c>
      <c r="I35" s="188">
        <f t="shared" si="8"/>
        <v>1.858736059479554E-2</v>
      </c>
      <c r="J35" s="189">
        <f t="shared" si="8"/>
        <v>61.8</v>
      </c>
      <c r="K35" s="190">
        <v>0.16604236007512496</v>
      </c>
      <c r="L35" s="191" t="s">
        <v>262</v>
      </c>
      <c r="M35" s="192" t="s">
        <v>263</v>
      </c>
      <c r="N35" s="192" t="s">
        <v>264</v>
      </c>
      <c r="O35" s="195" t="s">
        <v>319</v>
      </c>
      <c r="Q35" s="26">
        <v>3.5</v>
      </c>
      <c r="R35" s="193">
        <f t="shared" ref="R35:R37" si="9">Q35*K35</f>
        <v>0.58114826026293742</v>
      </c>
      <c r="S35" s="114"/>
    </row>
    <row r="36" spans="1:19" ht="44" customHeight="1">
      <c r="A36" s="194"/>
      <c r="B36" s="183" t="str">
        <f>A7</f>
        <v>20210114-ECA SCORED 16m, ERC+100DM [Sota vs Pl], -InsCar =Mort yCV. Bhatt</v>
      </c>
      <c r="C36" s="184" t="s">
        <v>121</v>
      </c>
      <c r="D36" s="185"/>
      <c r="E36" s="186">
        <f>H7</f>
        <v>1.3333333333333333</v>
      </c>
      <c r="F36" s="187" t="str">
        <f>P7</f>
        <v>155 / 5292</v>
      </c>
      <c r="G36" s="188">
        <f>L7</f>
        <v>2.1967120181405897E-2</v>
      </c>
      <c r="H36" s="187" t="str">
        <f>Q7</f>
        <v>170 / 5292</v>
      </c>
      <c r="I36" s="188">
        <f t="shared" si="8"/>
        <v>2.409297052154195E-2</v>
      </c>
      <c r="J36" s="189">
        <f t="shared" si="8"/>
        <v>69</v>
      </c>
      <c r="K36" s="190">
        <v>0.38468580033119226</v>
      </c>
      <c r="L36" s="191" t="s">
        <v>265</v>
      </c>
      <c r="M36" s="192" t="s">
        <v>266</v>
      </c>
      <c r="N36" s="192" t="s">
        <v>267</v>
      </c>
      <c r="O36" s="195" t="s">
        <v>320</v>
      </c>
      <c r="Q36" s="26">
        <v>3</v>
      </c>
      <c r="R36" s="193">
        <f t="shared" si="9"/>
        <v>1.1540574009935769</v>
      </c>
      <c r="S36" s="114"/>
    </row>
    <row r="37" spans="1:19" ht="44" customHeight="1" thickBot="1">
      <c r="A37" s="194"/>
      <c r="B37" s="183" t="str">
        <f>A8</f>
        <v>20221104-ECA EMP-KN 24m, ERC+45DM [Empa vs Pl], -ERC =Mort. Herrington</v>
      </c>
      <c r="C37" s="184" t="s">
        <v>121</v>
      </c>
      <c r="D37" s="185"/>
      <c r="E37" s="186">
        <f>H8</f>
        <v>2</v>
      </c>
      <c r="F37" s="187" t="str">
        <f>P8</f>
        <v>59 / 3304</v>
      </c>
      <c r="G37" s="188">
        <f>L8</f>
        <v>8.9285714285714281E-3</v>
      </c>
      <c r="H37" s="187" t="str">
        <f>Q8</f>
        <v>69 / 3305</v>
      </c>
      <c r="I37" s="188">
        <f t="shared" si="8"/>
        <v>1.0438729198184568E-2</v>
      </c>
      <c r="J37" s="189">
        <f t="shared" si="8"/>
        <v>64</v>
      </c>
      <c r="K37" s="190">
        <v>0.14915091326404978</v>
      </c>
      <c r="L37" s="191" t="s">
        <v>268</v>
      </c>
      <c r="M37" s="192" t="s">
        <v>269</v>
      </c>
      <c r="N37" s="192" t="s">
        <v>270</v>
      </c>
      <c r="O37" s="195" t="s">
        <v>319</v>
      </c>
      <c r="Q37" s="26">
        <v>3.5</v>
      </c>
      <c r="R37" s="193">
        <f t="shared" si="9"/>
        <v>0.5220281964241742</v>
      </c>
      <c r="S37" s="114"/>
    </row>
    <row r="38" spans="1:19" ht="21.5" thickBot="1">
      <c r="A38" s="196" t="s">
        <v>122</v>
      </c>
      <c r="B38" s="197">
        <f>COUNT(E34:E37)</f>
        <v>4</v>
      </c>
      <c r="C38" s="198"/>
      <c r="D38" s="516" t="s">
        <v>271</v>
      </c>
      <c r="E38" s="200">
        <f>H9</f>
        <v>1.8125144798826165</v>
      </c>
      <c r="F38" s="201" t="str">
        <f>P9</f>
        <v>386 / 12950</v>
      </c>
      <c r="G38" s="202">
        <f>L9</f>
        <v>1.644442551016061E-2</v>
      </c>
      <c r="H38" s="201" t="str">
        <f>Q9</f>
        <v>459 / 12948</v>
      </c>
      <c r="I38" s="202">
        <f t="shared" si="8"/>
        <v>1.955896452540748E-2</v>
      </c>
      <c r="J38" s="200">
        <f t="shared" si="8"/>
        <v>65.507846165727088</v>
      </c>
      <c r="K38" s="203">
        <v>1</v>
      </c>
      <c r="L38" s="507" t="s">
        <v>272</v>
      </c>
      <c r="M38" s="204"/>
      <c r="N38" s="205"/>
      <c r="O38" s="525" t="s">
        <v>320</v>
      </c>
      <c r="R38" s="206">
        <f>SUM(R34:R37)</f>
        <v>3.157596636669588</v>
      </c>
      <c r="S38" s="114"/>
    </row>
    <row r="39" spans="1:19" ht="21.5" customHeight="1" thickBot="1">
      <c r="A39" s="207"/>
      <c r="B39" s="207"/>
      <c r="C39" s="208"/>
      <c r="D39" s="479" t="s">
        <v>227</v>
      </c>
      <c r="E39" s="210"/>
      <c r="F39" s="211"/>
      <c r="G39" s="212"/>
      <c r="H39" s="211"/>
      <c r="I39" s="213"/>
      <c r="J39" s="214"/>
      <c r="K39" s="480"/>
      <c r="L39" s="481"/>
      <c r="M39" s="482"/>
      <c r="N39" s="483" t="s">
        <v>228</v>
      </c>
      <c r="O39" s="484" t="s">
        <v>321</v>
      </c>
    </row>
    <row r="40" spans="1:19" ht="13.5" thickBot="1">
      <c r="A40" s="207"/>
      <c r="B40" s="207"/>
      <c r="C40" s="208"/>
      <c r="D40" s="209"/>
      <c r="E40" s="210"/>
      <c r="F40" s="211"/>
      <c r="G40" s="212"/>
      <c r="H40" s="211"/>
      <c r="I40" s="213"/>
      <c r="J40" s="214"/>
      <c r="K40" s="215"/>
      <c r="L40" s="204"/>
      <c r="M40" s="205"/>
      <c r="N40" s="205"/>
      <c r="O40" s="215"/>
    </row>
    <row r="41" spans="1:19" ht="47" thickBot="1">
      <c r="A41" s="216"/>
      <c r="B41" s="681" t="s">
        <v>123</v>
      </c>
      <c r="C41" s="682"/>
      <c r="D41" s="682"/>
      <c r="E41" s="682"/>
      <c r="F41" s="682"/>
      <c r="G41" s="682"/>
      <c r="H41" s="682"/>
      <c r="I41" s="683"/>
      <c r="J41" s="217" t="s">
        <v>124</v>
      </c>
      <c r="K41" s="218" t="s">
        <v>125</v>
      </c>
      <c r="L41" s="219" t="s">
        <v>119</v>
      </c>
      <c r="M41" s="220" t="s">
        <v>95</v>
      </c>
      <c r="N41" s="221" t="s">
        <v>96</v>
      </c>
      <c r="O41" s="205"/>
    </row>
    <row r="42" spans="1:19" ht="19.5" customHeight="1">
      <c r="A42" s="684" t="s">
        <v>126</v>
      </c>
      <c r="B42" s="222" t="s">
        <v>127</v>
      </c>
      <c r="C42" s="223">
        <f>I38</f>
        <v>1.955896452540748E-2</v>
      </c>
      <c r="D42" s="224" t="s">
        <v>128</v>
      </c>
      <c r="E42" s="224"/>
      <c r="F42" s="224"/>
      <c r="G42" s="224"/>
      <c r="H42" s="225">
        <f>J38</f>
        <v>65.507846165727088</v>
      </c>
      <c r="I42" s="226" t="s">
        <v>129</v>
      </c>
      <c r="J42" s="227" t="s">
        <v>273</v>
      </c>
      <c r="K42" s="228" t="s">
        <v>274</v>
      </c>
      <c r="L42" s="508" t="s">
        <v>272</v>
      </c>
      <c r="M42" s="229" t="s">
        <v>275</v>
      </c>
      <c r="N42" s="509" t="s">
        <v>276</v>
      </c>
      <c r="O42" s="230" t="s">
        <v>130</v>
      </c>
    </row>
    <row r="43" spans="1:19" ht="19" thickBot="1">
      <c r="A43" s="685"/>
      <c r="B43" s="231" t="s">
        <v>127</v>
      </c>
      <c r="C43" s="232">
        <f>I38*E38</f>
        <v>3.5450906413811482E-2</v>
      </c>
      <c r="D43" s="233" t="s">
        <v>131</v>
      </c>
      <c r="E43" s="234"/>
      <c r="F43" s="235"/>
      <c r="G43" s="236">
        <f>E38</f>
        <v>1.8125144798826165</v>
      </c>
      <c r="H43" s="233" t="s">
        <v>132</v>
      </c>
      <c r="I43" s="237"/>
      <c r="J43" s="238" t="s">
        <v>277</v>
      </c>
      <c r="K43" s="239" t="s">
        <v>278</v>
      </c>
      <c r="L43" s="510" t="s">
        <v>272</v>
      </c>
      <c r="M43" s="240" t="s">
        <v>279</v>
      </c>
      <c r="N43" s="511" t="s">
        <v>280</v>
      </c>
      <c r="O43" s="241" t="s">
        <v>297</v>
      </c>
    </row>
    <row r="44" spans="1:19" ht="19" thickBot="1">
      <c r="A44" s="242"/>
      <c r="B44" s="243"/>
      <c r="C44" s="244"/>
      <c r="D44" s="245"/>
      <c r="E44" s="246"/>
      <c r="F44" s="247"/>
      <c r="G44" s="248"/>
      <c r="H44" s="245"/>
      <c r="I44" s="247"/>
      <c r="J44" s="249"/>
      <c r="K44" s="249"/>
      <c r="L44" s="250"/>
      <c r="M44" s="251"/>
      <c r="N44" s="251"/>
      <c r="O44" s="252"/>
    </row>
    <row r="45" spans="1:19" ht="19" thickBot="1">
      <c r="A45" s="253"/>
      <c r="B45" s="253"/>
      <c r="C45" s="215"/>
      <c r="D45" s="215"/>
      <c r="E45" s="215"/>
      <c r="F45" s="215"/>
      <c r="G45" s="215"/>
      <c r="H45" s="215"/>
      <c r="I45" s="254"/>
      <c r="J45" s="255"/>
      <c r="K45" s="256" t="s">
        <v>133</v>
      </c>
      <c r="L45" s="512" t="s">
        <v>281</v>
      </c>
      <c r="M45" s="257"/>
      <c r="N45" s="258"/>
      <c r="O45" s="259"/>
    </row>
    <row r="46" spans="1:19">
      <c r="A46" s="111"/>
      <c r="C46" s="1"/>
      <c r="I46" s="108" t="s">
        <v>134</v>
      </c>
      <c r="J46" s="260">
        <f>G43</f>
        <v>1.8125144798826165</v>
      </c>
      <c r="K46" s="260">
        <f>J46</f>
        <v>1.8125144798826165</v>
      </c>
    </row>
    <row r="47" spans="1:19">
      <c r="A47" s="111"/>
      <c r="C47" s="1"/>
      <c r="I47" s="14"/>
      <c r="J47" s="3" t="s">
        <v>84</v>
      </c>
      <c r="K47" s="3" t="s">
        <v>85</v>
      </c>
      <c r="L47" s="3" t="s">
        <v>135</v>
      </c>
    </row>
    <row r="48" spans="1:19" ht="17">
      <c r="I48" s="261" t="s">
        <v>258</v>
      </c>
      <c r="J48" s="513">
        <f>J42*100*J46</f>
        <v>2.9725237470074912</v>
      </c>
      <c r="K48" s="514">
        <f>K42*100*K46</f>
        <v>3.5525283805699281</v>
      </c>
      <c r="L48" s="515">
        <f>((J48*I9)+(K48*J9))/K9</f>
        <v>3.2624920843308365</v>
      </c>
      <c r="M48" s="262"/>
      <c r="N48" s="262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</sheetData>
  <mergeCells count="19">
    <mergeCell ref="B3:D3"/>
    <mergeCell ref="E3:G3"/>
    <mergeCell ref="I3:K3"/>
    <mergeCell ref="L3:M3"/>
    <mergeCell ref="D11:F11"/>
    <mergeCell ref="L32:O32"/>
    <mergeCell ref="B41:I41"/>
    <mergeCell ref="A42:A43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portrait" r:id="rId1"/>
  <ignoredErrors>
    <ignoredError sqref="H9" formula="1"/>
    <ignoredError sqref="J42:K4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83B3-AD77-4564-BB9D-15B1B7190153}">
  <dimension ref="A1:S65"/>
  <sheetViews>
    <sheetView zoomScale="70" zoomScaleNormal="70" workbookViewId="0"/>
  </sheetViews>
  <sheetFormatPr baseColWidth="10" defaultColWidth="16" defaultRowHeight="13"/>
  <cols>
    <col min="1" max="1" width="22.26953125" style="1" customWidth="1"/>
    <col min="2" max="2" width="23.54296875" style="111" customWidth="1"/>
    <col min="3" max="3" width="15" style="111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4"/>
    </row>
    <row r="2" spans="1:19" ht="20.25" customHeight="1">
      <c r="A2" s="115" t="s">
        <v>76</v>
      </c>
      <c r="B2" s="116" t="str">
        <f>A4</f>
        <v>Mortalidad por causa RENAL</v>
      </c>
      <c r="C2" s="117"/>
      <c r="O2" s="118"/>
      <c r="P2" s="119"/>
    </row>
    <row r="3" spans="1:19" ht="26">
      <c r="A3" s="12" t="s">
        <v>6</v>
      </c>
      <c r="B3" s="694" t="s">
        <v>77</v>
      </c>
      <c r="C3" s="695"/>
      <c r="D3" s="696"/>
      <c r="E3" s="694" t="s">
        <v>78</v>
      </c>
      <c r="F3" s="695"/>
      <c r="G3" s="696"/>
      <c r="H3" s="120" t="s">
        <v>79</v>
      </c>
      <c r="I3" s="694" t="s">
        <v>80</v>
      </c>
      <c r="J3" s="695"/>
      <c r="K3" s="696"/>
      <c r="L3" s="694" t="s">
        <v>81</v>
      </c>
      <c r="M3" s="696"/>
      <c r="N3" s="121" t="s">
        <v>82</v>
      </c>
      <c r="O3" s="119"/>
    </row>
    <row r="4" spans="1:19" ht="26">
      <c r="A4" s="503" t="s">
        <v>234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22" t="s">
        <v>83</v>
      </c>
      <c r="I4" s="123" t="s">
        <v>84</v>
      </c>
      <c r="J4" s="124" t="s">
        <v>85</v>
      </c>
      <c r="K4" s="123" t="s">
        <v>11</v>
      </c>
      <c r="L4" s="125" t="s">
        <v>84</v>
      </c>
      <c r="M4" s="126" t="s">
        <v>86</v>
      </c>
      <c r="N4" s="127" t="s">
        <v>83</v>
      </c>
      <c r="O4" s="663"/>
      <c r="P4" s="664" t="s">
        <v>87</v>
      </c>
      <c r="Q4" s="664" t="s">
        <v>87</v>
      </c>
    </row>
    <row r="5" spans="1:19">
      <c r="A5" s="28" t="s">
        <v>434</v>
      </c>
      <c r="B5" s="29">
        <v>2</v>
      </c>
      <c r="C5" s="30">
        <v>2200</v>
      </c>
      <c r="D5" s="31">
        <v>2202</v>
      </c>
      <c r="E5" s="29">
        <v>5</v>
      </c>
      <c r="F5" s="30">
        <v>2194</v>
      </c>
      <c r="G5" s="31">
        <v>2199</v>
      </c>
      <c r="H5" s="128">
        <v>2.5</v>
      </c>
      <c r="I5" s="129">
        <f t="shared" ref="I5:I7" si="0">D5*H5</f>
        <v>5505</v>
      </c>
      <c r="J5" s="129">
        <f t="shared" ref="J5:J7" si="1">G5*H5</f>
        <v>5497.5</v>
      </c>
      <c r="K5" s="129">
        <f>I5+J5</f>
        <v>11002.5</v>
      </c>
      <c r="L5" s="130">
        <f t="shared" ref="L5:L8" si="2">B5/I5</f>
        <v>3.6330608537693006E-4</v>
      </c>
      <c r="M5" s="130">
        <f t="shared" ref="M5:M8" si="3">E5/J5</f>
        <v>9.0950432014552066E-4</v>
      </c>
      <c r="N5" s="131">
        <v>63</v>
      </c>
      <c r="O5" s="665">
        <f>N5*(D5+G5)</f>
        <v>277263</v>
      </c>
      <c r="P5" s="663" t="str">
        <f t="shared" ref="P5:P8" si="4">CONCATENATE(B5," ",$P$4," ",D5)</f>
        <v>2 / 2202</v>
      </c>
      <c r="Q5" s="663" t="str">
        <f t="shared" ref="Q5:Q8" si="5">CONCATENATE(E5," ",$Q$4," ",G5)</f>
        <v>5 / 2199</v>
      </c>
    </row>
    <row r="6" spans="1:19">
      <c r="A6" s="28" t="s">
        <v>435</v>
      </c>
      <c r="B6" s="29">
        <v>2</v>
      </c>
      <c r="C6" s="30">
        <v>2150</v>
      </c>
      <c r="D6" s="31">
        <v>2152</v>
      </c>
      <c r="E6" s="29">
        <v>6</v>
      </c>
      <c r="F6" s="30">
        <v>2146</v>
      </c>
      <c r="G6" s="31">
        <v>2152</v>
      </c>
      <c r="H6" s="128">
        <v>2</v>
      </c>
      <c r="I6" s="129">
        <f t="shared" si="0"/>
        <v>4304</v>
      </c>
      <c r="J6" s="129">
        <f t="shared" si="1"/>
        <v>4304</v>
      </c>
      <c r="K6" s="129">
        <f t="shared" ref="K6:K7" si="6">I6+J6</f>
        <v>8608</v>
      </c>
      <c r="L6" s="130">
        <f t="shared" si="2"/>
        <v>4.6468401486988845E-4</v>
      </c>
      <c r="M6" s="130">
        <f t="shared" si="3"/>
        <v>1.3940520446096654E-3</v>
      </c>
      <c r="N6" s="131">
        <v>61.8</v>
      </c>
      <c r="O6" s="665">
        <f t="shared" ref="O6:O7" si="7">N6*(D6+G6)</f>
        <v>265987.20000000001</v>
      </c>
      <c r="P6" s="663" t="str">
        <f t="shared" si="4"/>
        <v>2 / 2152</v>
      </c>
      <c r="Q6" s="663" t="str">
        <f t="shared" si="5"/>
        <v>6 / 2152</v>
      </c>
    </row>
    <row r="7" spans="1:19">
      <c r="A7" s="28" t="s">
        <v>438</v>
      </c>
      <c r="B7" s="29">
        <v>4</v>
      </c>
      <c r="C7" s="30">
        <v>3300</v>
      </c>
      <c r="D7" s="31">
        <v>3304</v>
      </c>
      <c r="E7" s="29">
        <v>4</v>
      </c>
      <c r="F7" s="30">
        <v>3301</v>
      </c>
      <c r="G7" s="31">
        <v>3305</v>
      </c>
      <c r="H7" s="128">
        <v>2</v>
      </c>
      <c r="I7" s="129">
        <f t="shared" si="0"/>
        <v>6608</v>
      </c>
      <c r="J7" s="129">
        <f t="shared" si="1"/>
        <v>6610</v>
      </c>
      <c r="K7" s="129">
        <f t="shared" si="6"/>
        <v>13218</v>
      </c>
      <c r="L7" s="130">
        <f t="shared" si="2"/>
        <v>6.0532687651331722E-4</v>
      </c>
      <c r="M7" s="130">
        <f t="shared" si="3"/>
        <v>6.05143721633888E-4</v>
      </c>
      <c r="N7" s="131">
        <v>64</v>
      </c>
      <c r="O7" s="665">
        <f t="shared" si="7"/>
        <v>422976</v>
      </c>
      <c r="P7" s="663" t="str">
        <f t="shared" si="4"/>
        <v>4 / 3304</v>
      </c>
      <c r="Q7" s="663" t="str">
        <f t="shared" si="5"/>
        <v>4 / 3305</v>
      </c>
    </row>
    <row r="8" spans="1:19">
      <c r="A8" s="524">
        <f>COUNT(D5:D7)</f>
        <v>3</v>
      </c>
      <c r="B8" s="132">
        <f>SUM(B5:B7)</f>
        <v>8</v>
      </c>
      <c r="C8" s="133">
        <v>23009</v>
      </c>
      <c r="D8" s="132">
        <f>SUM(D5:D7)</f>
        <v>7658</v>
      </c>
      <c r="E8" s="132">
        <f>SUM(E5:E7)</f>
        <v>15</v>
      </c>
      <c r="F8" s="133">
        <v>28669.98</v>
      </c>
      <c r="G8" s="132">
        <f>SUM(G5:G7)</f>
        <v>7656</v>
      </c>
      <c r="H8" s="522">
        <f>K8/(D8+G8)</f>
        <v>2.1436920464934048</v>
      </c>
      <c r="I8" s="135">
        <f>SUM(I5:I7)</f>
        <v>16417</v>
      </c>
      <c r="J8" s="135">
        <f>SUM(J5:J7)</f>
        <v>16411.5</v>
      </c>
      <c r="K8" s="135">
        <f>SUM(K5:K7)</f>
        <v>32828.5</v>
      </c>
      <c r="L8" s="136">
        <f t="shared" si="2"/>
        <v>4.8729975025887798E-4</v>
      </c>
      <c r="M8" s="136">
        <f t="shared" si="3"/>
        <v>9.1399323645005028E-4</v>
      </c>
      <c r="N8" s="137">
        <f>O8/(D8+G8)</f>
        <v>63.094305863915366</v>
      </c>
      <c r="O8" s="666">
        <f>SUM(O5:O7)</f>
        <v>966226.2</v>
      </c>
      <c r="P8" s="667" t="str">
        <f t="shared" si="4"/>
        <v>8 / 7658</v>
      </c>
      <c r="Q8" s="667" t="str">
        <f t="shared" si="5"/>
        <v>15 / 7656</v>
      </c>
    </row>
    <row r="9" spans="1:19" ht="15" thickBot="1">
      <c r="B9" s="1"/>
      <c r="C9" s="1"/>
      <c r="E9" s="138"/>
      <c r="F9" s="10"/>
      <c r="S9" s="114"/>
    </row>
    <row r="10" spans="1:19" ht="15" thickBot="1">
      <c r="B10" s="139" t="s">
        <v>88</v>
      </c>
      <c r="C10" s="140">
        <v>1.9593200315267388E-3</v>
      </c>
      <c r="D10" s="697" t="s">
        <v>89</v>
      </c>
      <c r="E10" s="698"/>
      <c r="F10" s="699"/>
      <c r="H10" s="96"/>
      <c r="S10" s="114"/>
    </row>
    <row r="11" spans="1:19" ht="26.5" thickBot="1">
      <c r="A11" s="141">
        <f>I36</f>
        <v>9.1399323645005028E-4</v>
      </c>
      <c r="B11" s="118" t="s">
        <v>90</v>
      </c>
      <c r="C11" s="14"/>
      <c r="D11" s="142" t="s">
        <v>91</v>
      </c>
      <c r="E11" s="143" t="s">
        <v>92</v>
      </c>
      <c r="F11" s="142" t="s">
        <v>93</v>
      </c>
      <c r="S11" s="114"/>
    </row>
    <row r="12" spans="1:19" ht="15" thickBot="1">
      <c r="A12" s="144">
        <f>E36</f>
        <v>2.1436920464934048</v>
      </c>
      <c r="B12" s="145" t="s">
        <v>94</v>
      </c>
      <c r="C12" s="14"/>
      <c r="D12" s="146">
        <v>0.54866889357315063</v>
      </c>
      <c r="E12" s="147">
        <v>0.22705999565716839</v>
      </c>
      <c r="F12" s="148">
        <v>1.3258277156621541</v>
      </c>
      <c r="G12" s="14"/>
      <c r="S12" s="114"/>
    </row>
    <row r="13" spans="1:19" ht="14.5" hidden="1">
      <c r="A13" s="149"/>
      <c r="B13" s="150"/>
      <c r="C13" s="1"/>
      <c r="S13" s="114"/>
    </row>
    <row r="14" spans="1:19" ht="14.5" hidden="1">
      <c r="A14" s="149"/>
      <c r="B14" s="150"/>
      <c r="C14" s="545" t="s">
        <v>371</v>
      </c>
      <c r="D14" s="546">
        <f>C10*D12</f>
        <v>1.0750179538534864E-3</v>
      </c>
      <c r="E14" s="546">
        <f>C10*E12</f>
        <v>4.4488319784946433E-4</v>
      </c>
      <c r="F14" s="546">
        <f>C10*F12</f>
        <v>2.5977208016501959E-3</v>
      </c>
      <c r="S14" s="114"/>
    </row>
    <row r="15" spans="1:19" ht="14.5" hidden="1">
      <c r="A15" s="149"/>
      <c r="B15" s="150"/>
      <c r="C15" s="544"/>
      <c r="S15" s="114"/>
    </row>
    <row r="16" spans="1:19" ht="14.5" hidden="1">
      <c r="A16" s="149"/>
      <c r="B16" s="150"/>
      <c r="C16" s="547" t="s">
        <v>95</v>
      </c>
      <c r="D16" s="548">
        <f>C10-D14</f>
        <v>8.8430207767325238E-4</v>
      </c>
      <c r="E16" s="549">
        <f>C10-F14</f>
        <v>-6.384007701234571E-4</v>
      </c>
      <c r="F16" s="549">
        <f>C10-E14</f>
        <v>1.5144368336772744E-3</v>
      </c>
      <c r="S16" s="114"/>
    </row>
    <row r="17" spans="1:19" ht="14.5" hidden="1">
      <c r="A17" s="149"/>
      <c r="B17" s="150"/>
      <c r="C17" s="547" t="s">
        <v>96</v>
      </c>
      <c r="D17" s="550">
        <f>1/D16</f>
        <v>1130.8352940108073</v>
      </c>
      <c r="E17" s="550">
        <f>1/F16</f>
        <v>660.31146216369655</v>
      </c>
      <c r="F17" s="550">
        <f>1/E16</f>
        <v>-1566.4141504820163</v>
      </c>
      <c r="S17" s="114"/>
    </row>
    <row r="18" spans="1:19" ht="14.5" hidden="1">
      <c r="A18" s="149"/>
      <c r="B18" s="150"/>
      <c r="C18" s="14"/>
      <c r="D18" s="14"/>
      <c r="E18" s="14"/>
      <c r="F18" s="14"/>
      <c r="S18" s="114"/>
    </row>
    <row r="19" spans="1:19" ht="14.5" hidden="1">
      <c r="A19" s="149"/>
      <c r="B19" s="151" t="s">
        <v>97</v>
      </c>
      <c r="C19" s="152"/>
      <c r="D19" s="152"/>
      <c r="E19" s="153">
        <f>ROUND(D12,2)</f>
        <v>0.55000000000000004</v>
      </c>
      <c r="F19" s="154">
        <f>ROUND(D16,4)</f>
        <v>8.9999999999999998E-4</v>
      </c>
      <c r="G19" s="155">
        <f>ROUND(D17,0)</f>
        <v>1131</v>
      </c>
      <c r="S19" s="114"/>
    </row>
    <row r="20" spans="1:19" ht="14.5" hidden="1">
      <c r="A20" s="149"/>
      <c r="B20" s="156" t="s">
        <v>98</v>
      </c>
      <c r="C20" s="157">
        <f>ROUND(D14,4)</f>
        <v>1.1000000000000001E-3</v>
      </c>
      <c r="D20" s="158">
        <f>ROUND(C10,4)</f>
        <v>2E-3</v>
      </c>
      <c r="E20" s="159">
        <f>ROUND(E12,2)</f>
        <v>0.23</v>
      </c>
      <c r="F20" s="160">
        <f>ROUND(E16,4)</f>
        <v>-5.9999999999999995E-4</v>
      </c>
      <c r="G20" s="161">
        <f>ROUND(E17,0)</f>
        <v>660</v>
      </c>
      <c r="S20" s="114"/>
    </row>
    <row r="21" spans="1:19" ht="14.5" hidden="1">
      <c r="A21" s="149"/>
      <c r="B21" s="156" t="s">
        <v>99</v>
      </c>
      <c r="C21" s="162"/>
      <c r="D21" s="162"/>
      <c r="E21" s="159">
        <f>ROUND(F12,2)</f>
        <v>1.33</v>
      </c>
      <c r="F21" s="160">
        <f>ROUND(F16,4)</f>
        <v>1.5E-3</v>
      </c>
      <c r="G21" s="161">
        <f>ROUND(F17,0)</f>
        <v>-1566</v>
      </c>
      <c r="S21" s="114"/>
    </row>
    <row r="22" spans="1:19" ht="14.5" hidden="1">
      <c r="A22" s="149"/>
      <c r="B22" s="156" t="s">
        <v>100</v>
      </c>
      <c r="C22" s="163" t="s">
        <v>101</v>
      </c>
      <c r="D22" s="163" t="s">
        <v>102</v>
      </c>
      <c r="E22" s="164" t="s">
        <v>103</v>
      </c>
      <c r="F22" s="164" t="s">
        <v>104</v>
      </c>
      <c r="G22" s="163" t="s">
        <v>96</v>
      </c>
      <c r="S22" s="114"/>
    </row>
    <row r="23" spans="1:19" ht="14.5" hidden="1">
      <c r="A23" s="149"/>
      <c r="B23" s="165" t="s">
        <v>105</v>
      </c>
      <c r="C23" s="163" t="str">
        <f>CONCATENATE(C20*100,B22)</f>
        <v>0,11%</v>
      </c>
      <c r="D23" s="163" t="str">
        <f>CONCATENATE(D20*100,B22)</f>
        <v>0,2%</v>
      </c>
      <c r="E23" s="163" t="str">
        <f>CONCATENATE(E19," ",B19,E20,B20,E21,B21)</f>
        <v>0,55 (0,23-1,33)</v>
      </c>
      <c r="F23" s="163" t="str">
        <f>CONCATENATE(F19*100,B22," ",B19,F20*100,B22," ",B23," ",F21*100,B22,B21)</f>
        <v>0,09% (-0,06% a 0,15%)</v>
      </c>
      <c r="G23" s="163" t="str">
        <f>CONCATENATE(G19," ",B19,G20," ",B23," ",G21,B21)</f>
        <v>1131 (660 a -1566)</v>
      </c>
      <c r="S23" s="114"/>
    </row>
    <row r="24" spans="1:19" ht="14.5" hidden="1">
      <c r="A24" s="166"/>
      <c r="B24" s="150"/>
      <c r="D24" s="111"/>
      <c r="E24" s="111"/>
      <c r="F24" s="111"/>
      <c r="G24" s="111"/>
      <c r="S24" s="114"/>
    </row>
    <row r="25" spans="1:19" ht="15" thickBot="1">
      <c r="A25" s="141">
        <f>A11*A12</f>
        <v>1.9593200315267388E-3</v>
      </c>
      <c r="B25" s="118" t="s">
        <v>106</v>
      </c>
      <c r="C25" s="1"/>
      <c r="S25" s="114"/>
    </row>
    <row r="26" spans="1:19" ht="15" thickBot="1">
      <c r="A26" s="167"/>
      <c r="B26" s="1"/>
      <c r="C26" s="168" t="s">
        <v>107</v>
      </c>
      <c r="D26" s="169" t="s">
        <v>102</v>
      </c>
      <c r="E26" s="169" t="s">
        <v>103</v>
      </c>
      <c r="F26" s="169" t="s">
        <v>95</v>
      </c>
      <c r="G26" s="170" t="s">
        <v>96</v>
      </c>
      <c r="S26" s="114"/>
    </row>
    <row r="27" spans="1:19" ht="26.5" thickBot="1">
      <c r="A27" s="171"/>
      <c r="B27" s="172"/>
      <c r="C27" s="173" t="str">
        <f>C23</f>
        <v>0,11%</v>
      </c>
      <c r="D27" s="174" t="str">
        <f>D23</f>
        <v>0,2%</v>
      </c>
      <c r="E27" s="174" t="str">
        <f>E23</f>
        <v>0,55 (0,23-1,33)</v>
      </c>
      <c r="F27" s="174" t="str">
        <f>F23</f>
        <v>0,09% (-0,06% a 0,15%)</v>
      </c>
      <c r="G27" s="175" t="str">
        <f>G23</f>
        <v>1131 (660 a -1566)</v>
      </c>
      <c r="S27" s="114"/>
    </row>
    <row r="28" spans="1:19" ht="14.5">
      <c r="B28" s="1"/>
      <c r="C28" s="1"/>
      <c r="E28" s="138"/>
      <c r="F28" s="10"/>
      <c r="S28" s="114"/>
    </row>
    <row r="29" spans="1:19" ht="15" thickBot="1">
      <c r="D29" s="138"/>
      <c r="E29" s="138"/>
      <c r="S29" s="114"/>
    </row>
    <row r="30" spans="1:19" ht="22.5" customHeight="1" thickBot="1">
      <c r="A30" s="650" t="s">
        <v>407</v>
      </c>
      <c r="B30" s="176" t="str">
        <f>B2</f>
        <v>Mortalidad por causa RENAL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S30" s="114"/>
    </row>
    <row r="31" spans="1:19" ht="36" customHeight="1" thickBot="1">
      <c r="A31" s="690" t="s">
        <v>108</v>
      </c>
      <c r="B31" s="686" t="s">
        <v>109</v>
      </c>
      <c r="C31" s="692" t="s">
        <v>110</v>
      </c>
      <c r="D31" s="690" t="s">
        <v>283</v>
      </c>
      <c r="E31" s="686" t="s">
        <v>111</v>
      </c>
      <c r="F31" s="686" t="s">
        <v>112</v>
      </c>
      <c r="G31" s="686" t="s">
        <v>113</v>
      </c>
      <c r="H31" s="686" t="s">
        <v>114</v>
      </c>
      <c r="I31" s="686" t="s">
        <v>115</v>
      </c>
      <c r="J31" s="686" t="s">
        <v>116</v>
      </c>
      <c r="K31" s="688" t="s">
        <v>117</v>
      </c>
      <c r="L31" s="678" t="s">
        <v>118</v>
      </c>
      <c r="M31" s="679"/>
      <c r="N31" s="679"/>
      <c r="O31" s="680"/>
      <c r="S31" s="114"/>
    </row>
    <row r="32" spans="1:19" ht="43.5" customHeight="1" thickBot="1">
      <c r="A32" s="691"/>
      <c r="B32" s="687"/>
      <c r="C32" s="693"/>
      <c r="D32" s="691"/>
      <c r="E32" s="687"/>
      <c r="F32" s="687"/>
      <c r="G32" s="687"/>
      <c r="H32" s="687"/>
      <c r="I32" s="687"/>
      <c r="J32" s="687"/>
      <c r="K32" s="689"/>
      <c r="L32" s="179" t="s">
        <v>119</v>
      </c>
      <c r="M32" s="180" t="s">
        <v>95</v>
      </c>
      <c r="N32" s="181" t="s">
        <v>96</v>
      </c>
      <c r="O32" s="182" t="s">
        <v>120</v>
      </c>
      <c r="S32" s="114"/>
    </row>
    <row r="33" spans="1:19" ht="44" customHeight="1">
      <c r="A33" s="523" t="s">
        <v>326</v>
      </c>
      <c r="B33" s="183" t="str">
        <f>A5</f>
        <v>20190613-ECA CREDENCE 30m, ERC+100DM [Cana vs Pl], -ERT -MACE. Perkovic</v>
      </c>
      <c r="C33" s="184" t="s">
        <v>121</v>
      </c>
      <c r="D33" s="185"/>
      <c r="E33" s="186">
        <f>H5</f>
        <v>2.5</v>
      </c>
      <c r="F33" s="187" t="str">
        <f>P5</f>
        <v>2 / 2202</v>
      </c>
      <c r="G33" s="188">
        <f>L5</f>
        <v>3.6330608537693006E-4</v>
      </c>
      <c r="H33" s="187" t="str">
        <f>Q5</f>
        <v>5 / 2199</v>
      </c>
      <c r="I33" s="188">
        <f t="shared" ref="I33:J36" si="8">M5</f>
        <v>9.0950432014552066E-4</v>
      </c>
      <c r="J33" s="189">
        <f t="shared" si="8"/>
        <v>63</v>
      </c>
      <c r="K33" s="190">
        <v>0.28985697898379964</v>
      </c>
      <c r="L33" s="191" t="s">
        <v>339</v>
      </c>
      <c r="M33" s="192" t="s">
        <v>331</v>
      </c>
      <c r="N33" s="192" t="s">
        <v>332</v>
      </c>
      <c r="O33" s="195" t="s">
        <v>320</v>
      </c>
      <c r="Q33" s="26">
        <v>3</v>
      </c>
      <c r="R33" s="193">
        <f>Q33*K33</f>
        <v>0.86957093695139887</v>
      </c>
      <c r="S33" s="114"/>
    </row>
    <row r="34" spans="1:19" ht="44" customHeight="1">
      <c r="A34" s="506"/>
      <c r="B34" s="183" t="str">
        <f>A6</f>
        <v>20201008-ECA DAPA-CKD 24m, ERC+67DM [Dapa vs Pl] –ERC -Mort. Heerspink</v>
      </c>
      <c r="C34" s="184" t="s">
        <v>121</v>
      </c>
      <c r="D34" s="185"/>
      <c r="E34" s="186">
        <f>H6</f>
        <v>2</v>
      </c>
      <c r="F34" s="187" t="str">
        <f>P6</f>
        <v>2 / 2152</v>
      </c>
      <c r="G34" s="188">
        <f>L6</f>
        <v>4.6468401486988845E-4</v>
      </c>
      <c r="H34" s="187" t="str">
        <f>Q6</f>
        <v>6 / 2152</v>
      </c>
      <c r="I34" s="188">
        <f t="shared" si="8"/>
        <v>1.3940520446096654E-3</v>
      </c>
      <c r="J34" s="189">
        <f t="shared" si="8"/>
        <v>61.8</v>
      </c>
      <c r="K34" s="190">
        <v>0.30437897818073778</v>
      </c>
      <c r="L34" s="191" t="s">
        <v>333</v>
      </c>
      <c r="M34" s="192" t="s">
        <v>334</v>
      </c>
      <c r="N34" s="192" t="s">
        <v>335</v>
      </c>
      <c r="O34" s="195" t="s">
        <v>319</v>
      </c>
      <c r="Q34" s="26">
        <v>3.5</v>
      </c>
      <c r="R34" s="193">
        <f t="shared" ref="R34:R35" si="9">Q34*K34</f>
        <v>1.0653264236325821</v>
      </c>
      <c r="S34" s="114"/>
    </row>
    <row r="35" spans="1:19" ht="44" customHeight="1" thickBot="1">
      <c r="A35" s="194"/>
      <c r="B35" s="183" t="str">
        <f>A7</f>
        <v>20221104-ECA EMP-KN 24m, ERC+45DM [Empa vs Pl], -ERC =Mort. Herrington</v>
      </c>
      <c r="C35" s="184" t="s">
        <v>121</v>
      </c>
      <c r="D35" s="185"/>
      <c r="E35" s="186">
        <f>H7</f>
        <v>2</v>
      </c>
      <c r="F35" s="187" t="str">
        <f>P7</f>
        <v>4 / 3304</v>
      </c>
      <c r="G35" s="188">
        <f>L7</f>
        <v>6.0532687651331722E-4</v>
      </c>
      <c r="H35" s="187" t="str">
        <f>Q7</f>
        <v>4 / 3305</v>
      </c>
      <c r="I35" s="188">
        <f t="shared" si="8"/>
        <v>6.05143721633888E-4</v>
      </c>
      <c r="J35" s="189">
        <f t="shared" si="8"/>
        <v>64</v>
      </c>
      <c r="K35" s="190">
        <v>0.40576404283546263</v>
      </c>
      <c r="L35" s="191" t="s">
        <v>338</v>
      </c>
      <c r="M35" s="192" t="s">
        <v>336</v>
      </c>
      <c r="N35" s="192" t="s">
        <v>337</v>
      </c>
      <c r="O35" s="195" t="s">
        <v>319</v>
      </c>
      <c r="Q35" s="26">
        <v>3.5</v>
      </c>
      <c r="R35" s="193">
        <f t="shared" si="9"/>
        <v>1.4201741499241192</v>
      </c>
      <c r="S35" s="114"/>
    </row>
    <row r="36" spans="1:19" ht="21.5" thickBot="1">
      <c r="A36" s="196" t="s">
        <v>122</v>
      </c>
      <c r="B36" s="197">
        <f>COUNT(E33:E35)</f>
        <v>3</v>
      </c>
      <c r="C36" s="198"/>
      <c r="D36" s="516" t="s">
        <v>271</v>
      </c>
      <c r="E36" s="200">
        <f>H8</f>
        <v>2.1436920464934048</v>
      </c>
      <c r="F36" s="201" t="str">
        <f>P8</f>
        <v>8 / 7658</v>
      </c>
      <c r="G36" s="202">
        <f>L8</f>
        <v>4.8729975025887798E-4</v>
      </c>
      <c r="H36" s="201" t="str">
        <f>Q8</f>
        <v>15 / 7656</v>
      </c>
      <c r="I36" s="202">
        <f t="shared" si="8"/>
        <v>9.1399323645005028E-4</v>
      </c>
      <c r="J36" s="200">
        <f t="shared" si="8"/>
        <v>63.094305863915366</v>
      </c>
      <c r="K36" s="203">
        <v>1</v>
      </c>
      <c r="L36" s="543" t="s">
        <v>365</v>
      </c>
      <c r="M36" s="204"/>
      <c r="N36" s="205"/>
      <c r="O36" s="485" t="s">
        <v>319</v>
      </c>
      <c r="R36" s="206">
        <f>SUM(R33:R35)</f>
        <v>3.3550715105081004</v>
      </c>
      <c r="S36" s="114"/>
    </row>
    <row r="37" spans="1:19" ht="21.5" customHeight="1" thickBot="1">
      <c r="A37" s="207"/>
      <c r="B37" s="207"/>
      <c r="C37" s="208"/>
      <c r="D37" s="479" t="s">
        <v>227</v>
      </c>
      <c r="E37" s="210"/>
      <c r="F37" s="211"/>
      <c r="G37" s="212"/>
      <c r="H37" s="211"/>
      <c r="I37" s="213"/>
      <c r="J37" s="214"/>
      <c r="K37" s="480"/>
      <c r="L37" s="481"/>
      <c r="M37" s="482"/>
      <c r="N37" s="483" t="s">
        <v>228</v>
      </c>
      <c r="O37" s="484" t="s">
        <v>320</v>
      </c>
    </row>
    <row r="38" spans="1:19" ht="13.5" thickBot="1">
      <c r="A38" s="207"/>
      <c r="B38" s="207"/>
      <c r="C38" s="208"/>
      <c r="D38" s="209"/>
      <c r="E38" s="210"/>
      <c r="F38" s="211"/>
      <c r="G38" s="212"/>
      <c r="H38" s="211"/>
      <c r="I38" s="213"/>
      <c r="J38" s="214"/>
      <c r="K38" s="215"/>
      <c r="L38" s="204"/>
      <c r="M38" s="205"/>
      <c r="N38" s="205"/>
      <c r="O38" s="215"/>
    </row>
    <row r="39" spans="1:19" ht="47" thickBot="1">
      <c r="A39" s="216"/>
      <c r="B39" s="681" t="s">
        <v>123</v>
      </c>
      <c r="C39" s="682"/>
      <c r="D39" s="682"/>
      <c r="E39" s="682"/>
      <c r="F39" s="682"/>
      <c r="G39" s="682"/>
      <c r="H39" s="682"/>
      <c r="I39" s="683"/>
      <c r="J39" s="217" t="s">
        <v>124</v>
      </c>
      <c r="K39" s="218" t="s">
        <v>125</v>
      </c>
      <c r="L39" s="219" t="s">
        <v>119</v>
      </c>
      <c r="M39" s="220" t="s">
        <v>95</v>
      </c>
      <c r="N39" s="221" t="s">
        <v>96</v>
      </c>
      <c r="O39" s="205"/>
    </row>
    <row r="40" spans="1:19" ht="19.5" customHeight="1">
      <c r="A40" s="684" t="s">
        <v>126</v>
      </c>
      <c r="B40" s="222" t="s">
        <v>127</v>
      </c>
      <c r="C40" s="223">
        <f>I36</f>
        <v>9.1399323645005028E-4</v>
      </c>
      <c r="D40" s="224" t="s">
        <v>128</v>
      </c>
      <c r="E40" s="224"/>
      <c r="F40" s="224"/>
      <c r="G40" s="224"/>
      <c r="H40" s="225">
        <f>J36</f>
        <v>63.094305863915366</v>
      </c>
      <c r="I40" s="226" t="s">
        <v>129</v>
      </c>
      <c r="J40" s="227" t="s">
        <v>364</v>
      </c>
      <c r="K40" s="228" t="s">
        <v>327</v>
      </c>
      <c r="L40" s="530" t="s">
        <v>365</v>
      </c>
      <c r="M40" s="229" t="s">
        <v>366</v>
      </c>
      <c r="N40" s="532" t="s">
        <v>367</v>
      </c>
      <c r="O40" s="230" t="s">
        <v>130</v>
      </c>
    </row>
    <row r="41" spans="1:19" ht="19" thickBot="1">
      <c r="A41" s="685"/>
      <c r="B41" s="231" t="s">
        <v>127</v>
      </c>
      <c r="C41" s="232">
        <f>I36*E36</f>
        <v>1.9593200315267388E-3</v>
      </c>
      <c r="D41" s="233" t="s">
        <v>131</v>
      </c>
      <c r="E41" s="234"/>
      <c r="F41" s="235"/>
      <c r="G41" s="236">
        <f>E36</f>
        <v>2.1436920464934048</v>
      </c>
      <c r="H41" s="233" t="s">
        <v>132</v>
      </c>
      <c r="I41" s="237"/>
      <c r="J41" s="238" t="s">
        <v>368</v>
      </c>
      <c r="K41" s="239" t="s">
        <v>328</v>
      </c>
      <c r="L41" s="531" t="s">
        <v>365</v>
      </c>
      <c r="M41" s="240" t="s">
        <v>369</v>
      </c>
      <c r="N41" s="533" t="s">
        <v>370</v>
      </c>
      <c r="O41" s="241" t="s">
        <v>296</v>
      </c>
    </row>
    <row r="42" spans="1:19" ht="19" thickBot="1">
      <c r="A42" s="242"/>
      <c r="B42" s="243"/>
      <c r="C42" s="244"/>
      <c r="D42" s="245"/>
      <c r="E42" s="246"/>
      <c r="F42" s="247"/>
      <c r="G42" s="248"/>
      <c r="H42" s="245"/>
      <c r="I42" s="247"/>
      <c r="J42" s="249"/>
      <c r="K42" s="249"/>
      <c r="L42" s="250"/>
      <c r="M42" s="251"/>
      <c r="N42" s="251"/>
      <c r="O42" s="252"/>
    </row>
    <row r="43" spans="1:19" ht="19" thickBot="1">
      <c r="A43" s="253"/>
      <c r="B43" s="253"/>
      <c r="C43" s="215"/>
      <c r="D43" s="215"/>
      <c r="E43" s="215"/>
      <c r="F43" s="215"/>
      <c r="G43" s="215"/>
      <c r="H43" s="215"/>
      <c r="I43" s="254"/>
      <c r="J43" s="255"/>
      <c r="K43" s="256" t="s">
        <v>133</v>
      </c>
      <c r="L43" s="535" t="s">
        <v>416</v>
      </c>
      <c r="M43" s="257"/>
      <c r="N43" s="258"/>
      <c r="O43" s="259"/>
    </row>
    <row r="44" spans="1:19">
      <c r="A44" s="111"/>
      <c r="C44" s="1"/>
      <c r="I44" s="108" t="s">
        <v>134</v>
      </c>
      <c r="J44" s="260">
        <f>G41</f>
        <v>2.1436920464934048</v>
      </c>
      <c r="K44" s="260">
        <f>J44</f>
        <v>2.1436920464934048</v>
      </c>
    </row>
    <row r="45" spans="1:19">
      <c r="A45" s="111"/>
      <c r="C45" s="1"/>
      <c r="I45" s="14"/>
      <c r="J45" s="3" t="s">
        <v>84</v>
      </c>
      <c r="K45" s="3" t="s">
        <v>85</v>
      </c>
      <c r="L45" s="3" t="s">
        <v>135</v>
      </c>
    </row>
    <row r="46" spans="1:19" ht="17">
      <c r="I46" s="261" t="s">
        <v>258</v>
      </c>
      <c r="J46" s="536">
        <f>J40*100*J44</f>
        <v>0.10718460232467025</v>
      </c>
      <c r="K46" s="536">
        <f>K40*100*K44</f>
        <v>0.19293228418440642</v>
      </c>
      <c r="L46" s="534">
        <f>((J46*I8)+(K46*J8))/K8</f>
        <v>0.15005126028470683</v>
      </c>
      <c r="M46" s="262"/>
      <c r="N46" s="262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</sheetData>
  <mergeCells count="19">
    <mergeCell ref="B3:D3"/>
    <mergeCell ref="E3:G3"/>
    <mergeCell ref="I3:K3"/>
    <mergeCell ref="L3:M3"/>
    <mergeCell ref="D10:F10"/>
    <mergeCell ref="L31:O31"/>
    <mergeCell ref="B39:I39"/>
    <mergeCell ref="A40:A41"/>
    <mergeCell ref="F31:F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</mergeCells>
  <pageMargins left="0.7" right="0.7" top="0.75" bottom="0.75" header="0.3" footer="0.3"/>
  <ignoredErrors>
    <ignoredError sqref="A33 J40:K41" numberStoredAsText="1"/>
    <ignoredError sqref="H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DDED-E69B-47A7-95AE-68689F9FFBBB}">
  <dimension ref="A1:S63"/>
  <sheetViews>
    <sheetView zoomScale="70" zoomScaleNormal="70" workbookViewId="0"/>
  </sheetViews>
  <sheetFormatPr baseColWidth="10" defaultColWidth="16" defaultRowHeight="13"/>
  <cols>
    <col min="1" max="1" width="22.453125" style="1" customWidth="1"/>
    <col min="2" max="2" width="23.54296875" style="111" customWidth="1"/>
    <col min="3" max="3" width="15" style="111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4"/>
    </row>
    <row r="2" spans="1:19" ht="20.25" customHeight="1">
      <c r="A2" s="115" t="s">
        <v>76</v>
      </c>
      <c r="B2" s="116" t="str">
        <f>A4</f>
        <v>Declinacion de FGe ≥ 40% (empa) o ≥ 50% (dapa) desde el inicio</v>
      </c>
      <c r="C2" s="117"/>
      <c r="O2" s="118"/>
      <c r="P2" s="119"/>
    </row>
    <row r="3" spans="1:19" ht="26">
      <c r="A3" s="12" t="s">
        <v>6</v>
      </c>
      <c r="B3" s="694" t="s">
        <v>77</v>
      </c>
      <c r="C3" s="695"/>
      <c r="D3" s="696"/>
      <c r="E3" s="694" t="s">
        <v>78</v>
      </c>
      <c r="F3" s="695"/>
      <c r="G3" s="696"/>
      <c r="H3" s="120" t="s">
        <v>79</v>
      </c>
      <c r="I3" s="694" t="s">
        <v>80</v>
      </c>
      <c r="J3" s="695"/>
      <c r="K3" s="696"/>
      <c r="L3" s="694" t="s">
        <v>81</v>
      </c>
      <c r="M3" s="696"/>
      <c r="N3" s="121" t="s">
        <v>82</v>
      </c>
      <c r="O3" s="119"/>
    </row>
    <row r="4" spans="1:19" ht="39">
      <c r="A4" s="503" t="s">
        <v>413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22" t="s">
        <v>83</v>
      </c>
      <c r="I4" s="123" t="s">
        <v>84</v>
      </c>
      <c r="J4" s="124" t="s">
        <v>85</v>
      </c>
      <c r="K4" s="123" t="s">
        <v>11</v>
      </c>
      <c r="L4" s="125" t="s">
        <v>84</v>
      </c>
      <c r="M4" s="126" t="s">
        <v>86</v>
      </c>
      <c r="N4" s="127" t="s">
        <v>83</v>
      </c>
      <c r="O4" s="663"/>
      <c r="P4" s="664" t="s">
        <v>87</v>
      </c>
      <c r="Q4" s="664" t="s">
        <v>87</v>
      </c>
    </row>
    <row r="5" spans="1:19">
      <c r="A5" s="28" t="s">
        <v>446</v>
      </c>
      <c r="B5" s="29">
        <v>112</v>
      </c>
      <c r="C5" s="30">
        <v>2150</v>
      </c>
      <c r="D5" s="31">
        <v>2152</v>
      </c>
      <c r="E5" s="29">
        <v>201</v>
      </c>
      <c r="F5" s="30">
        <v>2146</v>
      </c>
      <c r="G5" s="31">
        <v>2152</v>
      </c>
      <c r="H5" s="128">
        <v>2</v>
      </c>
      <c r="I5" s="129">
        <f t="shared" ref="I5:I6" si="0">D5*H5</f>
        <v>4304</v>
      </c>
      <c r="J5" s="129">
        <f t="shared" ref="J5:J6" si="1">G5*H5</f>
        <v>4304</v>
      </c>
      <c r="K5" s="129">
        <f>I5+J5</f>
        <v>8608</v>
      </c>
      <c r="L5" s="130">
        <f t="shared" ref="L5:L7" si="2">B5/I5</f>
        <v>2.6022304832713755E-2</v>
      </c>
      <c r="M5" s="130">
        <f t="shared" ref="M5:M7" si="3">E5/J5</f>
        <v>4.670074349442379E-2</v>
      </c>
      <c r="N5" s="131">
        <v>63</v>
      </c>
      <c r="O5" s="665">
        <f>N5*(D5+G5)</f>
        <v>271152</v>
      </c>
      <c r="P5" s="663" t="str">
        <f t="shared" ref="P5:P7" si="4">CONCATENATE(B5," ",$P$4," ",D5)</f>
        <v>112 / 2152</v>
      </c>
      <c r="Q5" s="663" t="str">
        <f t="shared" ref="Q5:Q7" si="5">CONCATENATE(E5," ",$Q$4," ",G5)</f>
        <v>201 / 2152</v>
      </c>
    </row>
    <row r="6" spans="1:19">
      <c r="A6" s="28" t="s">
        <v>447</v>
      </c>
      <c r="B6" s="29">
        <v>359</v>
      </c>
      <c r="C6" s="30">
        <v>3300</v>
      </c>
      <c r="D6" s="31">
        <v>3304</v>
      </c>
      <c r="E6" s="29">
        <v>474</v>
      </c>
      <c r="F6" s="30">
        <v>3301</v>
      </c>
      <c r="G6" s="31">
        <v>3305</v>
      </c>
      <c r="H6" s="128">
        <v>2</v>
      </c>
      <c r="I6" s="129">
        <f t="shared" si="0"/>
        <v>6608</v>
      </c>
      <c r="J6" s="129">
        <f t="shared" si="1"/>
        <v>6610</v>
      </c>
      <c r="K6" s="129">
        <f t="shared" ref="K6" si="6">I6+J6</f>
        <v>13218</v>
      </c>
      <c r="L6" s="130">
        <f t="shared" si="2"/>
        <v>5.4328087167070216E-2</v>
      </c>
      <c r="M6" s="130">
        <f t="shared" si="3"/>
        <v>7.170953101361574E-2</v>
      </c>
      <c r="N6" s="131">
        <v>61.8</v>
      </c>
      <c r="O6" s="665">
        <f t="shared" ref="O6" si="7">N6*(D6+G6)</f>
        <v>408436.19999999995</v>
      </c>
      <c r="P6" s="663" t="str">
        <f t="shared" si="4"/>
        <v>359 / 3304</v>
      </c>
      <c r="Q6" s="663" t="str">
        <f t="shared" si="5"/>
        <v>474 / 3305</v>
      </c>
    </row>
    <row r="7" spans="1:19">
      <c r="A7" s="524">
        <f>COUNT(D5:D6)</f>
        <v>2</v>
      </c>
      <c r="B7" s="132">
        <f>SUM(B5:B6)</f>
        <v>471</v>
      </c>
      <c r="C7" s="133">
        <v>23009</v>
      </c>
      <c r="D7" s="132">
        <f>SUM(D5:D6)</f>
        <v>5456</v>
      </c>
      <c r="E7" s="132">
        <f>SUM(E5:E6)</f>
        <v>675</v>
      </c>
      <c r="F7" s="133">
        <v>28669.98</v>
      </c>
      <c r="G7" s="132">
        <f>SUM(G5:G6)</f>
        <v>5457</v>
      </c>
      <c r="H7" s="522">
        <f>K7/(D7+G7)</f>
        <v>2</v>
      </c>
      <c r="I7" s="135">
        <f>SUM(I5:I6)</f>
        <v>10912</v>
      </c>
      <c r="J7" s="135">
        <f>SUM(J5:J6)</f>
        <v>10914</v>
      </c>
      <c r="K7" s="135">
        <f>SUM(K5:K6)</f>
        <v>21826</v>
      </c>
      <c r="L7" s="136">
        <f t="shared" si="2"/>
        <v>4.3163489736070385E-2</v>
      </c>
      <c r="M7" s="136">
        <f t="shared" si="3"/>
        <v>6.1847168774051678E-2</v>
      </c>
      <c r="N7" s="137">
        <f>O7/(D7+G7)</f>
        <v>62.273270411435895</v>
      </c>
      <c r="O7" s="666">
        <f>SUM(O5:O6)</f>
        <v>679588.2</v>
      </c>
      <c r="P7" s="667" t="str">
        <f t="shared" si="4"/>
        <v>471 / 5456</v>
      </c>
      <c r="Q7" s="667" t="str">
        <f t="shared" si="5"/>
        <v>675 / 5457</v>
      </c>
    </row>
    <row r="8" spans="1:19" ht="13.5" thickBot="1">
      <c r="A8" s="528" t="s">
        <v>412</v>
      </c>
      <c r="B8" s="528"/>
      <c r="C8" s="1"/>
      <c r="E8" s="138"/>
      <c r="F8" s="10"/>
    </row>
    <row r="9" spans="1:19" ht="15" thickBot="1">
      <c r="B9" s="139" t="s">
        <v>88</v>
      </c>
      <c r="C9" s="140">
        <v>0.1236953547303042</v>
      </c>
      <c r="D9" s="697" t="s">
        <v>89</v>
      </c>
      <c r="E9" s="698"/>
      <c r="F9" s="699"/>
      <c r="H9" s="96"/>
      <c r="S9" s="114"/>
    </row>
    <row r="10" spans="1:19" ht="26.5" thickBot="1">
      <c r="A10" s="141">
        <f>I34</f>
        <v>6.1847168774051678E-2</v>
      </c>
      <c r="B10" s="118" t="s">
        <v>90</v>
      </c>
      <c r="C10" s="14"/>
      <c r="D10" s="142" t="s">
        <v>91</v>
      </c>
      <c r="E10" s="143" t="s">
        <v>92</v>
      </c>
      <c r="F10" s="142" t="s">
        <v>93</v>
      </c>
      <c r="S10" s="114"/>
    </row>
    <row r="11" spans="1:19" ht="15" thickBot="1">
      <c r="A11" s="144">
        <f>E34</f>
        <v>2</v>
      </c>
      <c r="B11" s="145" t="s">
        <v>94</v>
      </c>
      <c r="C11" s="14"/>
      <c r="D11" s="146">
        <v>0.65931127515647581</v>
      </c>
      <c r="E11" s="147">
        <v>0.48857427559860739</v>
      </c>
      <c r="F11" s="148">
        <v>0.88971886817191492</v>
      </c>
      <c r="G11" s="14"/>
      <c r="S11" s="114"/>
    </row>
    <row r="12" spans="1:19" ht="14.5" hidden="1">
      <c r="A12" s="149"/>
      <c r="B12" s="150"/>
      <c r="C12" s="1"/>
      <c r="S12" s="114"/>
    </row>
    <row r="13" spans="1:19" ht="14.5" hidden="1">
      <c r="A13" s="149"/>
      <c r="B13" s="150"/>
      <c r="C13" s="545" t="s">
        <v>371</v>
      </c>
      <c r="D13" s="546">
        <f>C9*D11</f>
        <v>8.1553742058169468E-2</v>
      </c>
      <c r="E13" s="546">
        <f>C9*E11</f>
        <v>6.043436833227115E-2</v>
      </c>
      <c r="F13" s="546">
        <f>C9*F11</f>
        <v>0.11005409100876977</v>
      </c>
      <c r="S13" s="114"/>
    </row>
    <row r="14" spans="1:19" ht="14.5" hidden="1">
      <c r="A14" s="149"/>
      <c r="B14" s="150"/>
      <c r="C14" s="544"/>
      <c r="S14" s="114"/>
    </row>
    <row r="15" spans="1:19" ht="14.5" hidden="1">
      <c r="A15" s="149"/>
      <c r="B15" s="150"/>
      <c r="C15" s="547" t="s">
        <v>95</v>
      </c>
      <c r="D15" s="548">
        <f>C9-D13</f>
        <v>4.2141612672134732E-2</v>
      </c>
      <c r="E15" s="549">
        <f>C9-F13</f>
        <v>1.364126372153443E-2</v>
      </c>
      <c r="F15" s="549">
        <f>C9-E13</f>
        <v>6.3260986398033042E-2</v>
      </c>
      <c r="S15" s="114"/>
    </row>
    <row r="16" spans="1:19" ht="14.5" hidden="1">
      <c r="A16" s="149"/>
      <c r="B16" s="150"/>
      <c r="C16" s="547" t="s">
        <v>96</v>
      </c>
      <c r="D16" s="550">
        <f>1/D15</f>
        <v>23.72951428745937</v>
      </c>
      <c r="E16" s="550">
        <f>1/F15</f>
        <v>15.807530943448786</v>
      </c>
      <c r="F16" s="550">
        <f>1/E15</f>
        <v>73.30699122995297</v>
      </c>
      <c r="S16" s="114"/>
    </row>
    <row r="17" spans="1:19" ht="14.5" hidden="1">
      <c r="A17" s="149"/>
      <c r="B17" s="150"/>
      <c r="C17" s="14"/>
      <c r="D17" s="14"/>
      <c r="E17" s="14"/>
      <c r="F17" s="14"/>
      <c r="S17" s="114"/>
    </row>
    <row r="18" spans="1:19" ht="14.5" hidden="1">
      <c r="A18" s="149"/>
      <c r="B18" s="151" t="s">
        <v>97</v>
      </c>
      <c r="C18" s="152"/>
      <c r="D18" s="152"/>
      <c r="E18" s="153">
        <f>ROUND(D11,2)</f>
        <v>0.66</v>
      </c>
      <c r="F18" s="154">
        <f>ROUND(D15,4)</f>
        <v>4.2099999999999999E-2</v>
      </c>
      <c r="G18" s="155">
        <f>ROUND(D16,0)</f>
        <v>24</v>
      </c>
      <c r="S18" s="114"/>
    </row>
    <row r="19" spans="1:19" ht="14.5" hidden="1">
      <c r="A19" s="149"/>
      <c r="B19" s="156" t="s">
        <v>98</v>
      </c>
      <c r="C19" s="157">
        <f>ROUND(D13,4)</f>
        <v>8.1600000000000006E-2</v>
      </c>
      <c r="D19" s="158">
        <f>ROUND(C9,4)</f>
        <v>0.1237</v>
      </c>
      <c r="E19" s="159">
        <f>ROUND(E11,2)</f>
        <v>0.49</v>
      </c>
      <c r="F19" s="160">
        <f>ROUND(E15,4)</f>
        <v>1.3599999999999999E-2</v>
      </c>
      <c r="G19" s="161">
        <f>ROUND(E16,0)</f>
        <v>16</v>
      </c>
      <c r="S19" s="114"/>
    </row>
    <row r="20" spans="1:19" ht="14.5" hidden="1">
      <c r="A20" s="149"/>
      <c r="B20" s="156" t="s">
        <v>99</v>
      </c>
      <c r="C20" s="162"/>
      <c r="D20" s="162"/>
      <c r="E20" s="159">
        <f>ROUND(F11,2)</f>
        <v>0.89</v>
      </c>
      <c r="F20" s="160">
        <f>ROUND(F15,4)</f>
        <v>6.3299999999999995E-2</v>
      </c>
      <c r="G20" s="161">
        <f>ROUND(F16,0)</f>
        <v>73</v>
      </c>
      <c r="S20" s="114"/>
    </row>
    <row r="21" spans="1:19" ht="14.5" hidden="1">
      <c r="A21" s="149"/>
      <c r="B21" s="156" t="s">
        <v>100</v>
      </c>
      <c r="C21" s="163" t="s">
        <v>101</v>
      </c>
      <c r="D21" s="163" t="s">
        <v>102</v>
      </c>
      <c r="E21" s="164" t="s">
        <v>103</v>
      </c>
      <c r="F21" s="164" t="s">
        <v>104</v>
      </c>
      <c r="G21" s="163" t="s">
        <v>96</v>
      </c>
      <c r="S21" s="114"/>
    </row>
    <row r="22" spans="1:19" ht="14.5" hidden="1">
      <c r="A22" s="149"/>
      <c r="B22" s="165" t="s">
        <v>105</v>
      </c>
      <c r="C22" s="163" t="str">
        <f>CONCATENATE(C19*100,B21)</f>
        <v>8,16%</v>
      </c>
      <c r="D22" s="163" t="str">
        <f>CONCATENATE(D19*100,B21)</f>
        <v>12,37%</v>
      </c>
      <c r="E22" s="163" t="str">
        <f>CONCATENATE(E18," ",B18,E19,B19,E20,B20)</f>
        <v>0,66 (0,49-0,89)</v>
      </c>
      <c r="F22" s="163" t="str">
        <f>CONCATENATE(F18*100,B21," ",B18,F19*100,B21," ",B22," ",F20*100,B21,B20)</f>
        <v>4,21% (1,36% a 6,33%)</v>
      </c>
      <c r="G22" s="163" t="str">
        <f>CONCATENATE(G18," ",B18,G19," ",B22," ",G20,B20)</f>
        <v>24 (16 a 73)</v>
      </c>
      <c r="S22" s="114"/>
    </row>
    <row r="23" spans="1:19" ht="14.5" hidden="1">
      <c r="A23" s="166"/>
      <c r="B23" s="150"/>
      <c r="D23" s="111"/>
      <c r="E23" s="111"/>
      <c r="F23" s="111"/>
      <c r="G23" s="111"/>
      <c r="S23" s="114"/>
    </row>
    <row r="24" spans="1:19" ht="15" thickBot="1">
      <c r="A24" s="141">
        <f>A10*A11</f>
        <v>0.12369433754810336</v>
      </c>
      <c r="B24" s="118" t="s">
        <v>106</v>
      </c>
      <c r="C24" s="1"/>
      <c r="S24" s="114"/>
    </row>
    <row r="25" spans="1:19" ht="15" thickBot="1">
      <c r="A25" s="167"/>
      <c r="B25" s="1"/>
      <c r="C25" s="168" t="s">
        <v>107</v>
      </c>
      <c r="D25" s="169" t="s">
        <v>102</v>
      </c>
      <c r="E25" s="169" t="s">
        <v>103</v>
      </c>
      <c r="F25" s="169" t="s">
        <v>95</v>
      </c>
      <c r="G25" s="170" t="s">
        <v>96</v>
      </c>
      <c r="S25" s="114"/>
    </row>
    <row r="26" spans="1:19" ht="26.5" thickBot="1">
      <c r="A26" s="171"/>
      <c r="B26" s="172"/>
      <c r="C26" s="173" t="str">
        <f>C22</f>
        <v>8,16%</v>
      </c>
      <c r="D26" s="174" t="str">
        <f>D22</f>
        <v>12,37%</v>
      </c>
      <c r="E26" s="174" t="str">
        <f>E22</f>
        <v>0,66 (0,49-0,89)</v>
      </c>
      <c r="F26" s="174" t="str">
        <f>F22</f>
        <v>4,21% (1,36% a 6,33%)</v>
      </c>
      <c r="G26" s="175" t="str">
        <f>G22</f>
        <v>24 (16 a 73)</v>
      </c>
      <c r="S26" s="114"/>
    </row>
    <row r="27" spans="1:19" ht="14.5">
      <c r="B27" s="1"/>
      <c r="C27" s="1"/>
      <c r="E27" s="138"/>
      <c r="F27" s="10"/>
      <c r="S27" s="114"/>
    </row>
    <row r="28" spans="1:19" ht="15" thickBot="1">
      <c r="D28" s="138"/>
      <c r="E28" s="138"/>
      <c r="S28" s="114"/>
    </row>
    <row r="29" spans="1:19" ht="22.5" customHeight="1" thickBot="1">
      <c r="A29" s="650" t="s">
        <v>408</v>
      </c>
      <c r="B29" s="176" t="str">
        <f>B2</f>
        <v>Declinacion de FGe ≥ 40% (empa) o ≥ 50% (dapa) desde el inicio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S29" s="114"/>
    </row>
    <row r="30" spans="1:19" ht="36" customHeight="1" thickBot="1">
      <c r="A30" s="690" t="s">
        <v>108</v>
      </c>
      <c r="B30" s="686" t="s">
        <v>109</v>
      </c>
      <c r="C30" s="692" t="s">
        <v>110</v>
      </c>
      <c r="D30" s="690" t="s">
        <v>283</v>
      </c>
      <c r="E30" s="686" t="s">
        <v>111</v>
      </c>
      <c r="F30" s="686" t="s">
        <v>112</v>
      </c>
      <c r="G30" s="686" t="s">
        <v>113</v>
      </c>
      <c r="H30" s="686" t="s">
        <v>114</v>
      </c>
      <c r="I30" s="686" t="s">
        <v>115</v>
      </c>
      <c r="J30" s="686" t="s">
        <v>116</v>
      </c>
      <c r="K30" s="688" t="s">
        <v>117</v>
      </c>
      <c r="L30" s="678" t="s">
        <v>118</v>
      </c>
      <c r="M30" s="679"/>
      <c r="N30" s="679"/>
      <c r="O30" s="680"/>
      <c r="S30" s="114"/>
    </row>
    <row r="31" spans="1:19" ht="43.5" customHeight="1" thickBot="1">
      <c r="A31" s="691"/>
      <c r="B31" s="687"/>
      <c r="C31" s="693"/>
      <c r="D31" s="691"/>
      <c r="E31" s="687"/>
      <c r="F31" s="687"/>
      <c r="G31" s="687"/>
      <c r="H31" s="687"/>
      <c r="I31" s="687"/>
      <c r="J31" s="687"/>
      <c r="K31" s="689"/>
      <c r="L31" s="179" t="s">
        <v>119</v>
      </c>
      <c r="M31" s="180" t="s">
        <v>95</v>
      </c>
      <c r="N31" s="181" t="s">
        <v>96</v>
      </c>
      <c r="O31" s="182" t="s">
        <v>120</v>
      </c>
      <c r="S31" s="114"/>
    </row>
    <row r="32" spans="1:19" ht="44" customHeight="1">
      <c r="A32" s="523" t="s">
        <v>318</v>
      </c>
      <c r="B32" s="183" t="str">
        <f>A5</f>
        <v>(*) 20201008-ECA DAPA-CKD 24m, ERC+67DM [Dapa vs Pl] –ERC -Mort. Heerspink</v>
      </c>
      <c r="C32" s="184" t="s">
        <v>121</v>
      </c>
      <c r="D32" s="185"/>
      <c r="E32" s="186">
        <f>H5</f>
        <v>2</v>
      </c>
      <c r="F32" s="187" t="str">
        <f>P5</f>
        <v>112 / 2152</v>
      </c>
      <c r="G32" s="188">
        <f>L5</f>
        <v>2.6022304832713755E-2</v>
      </c>
      <c r="H32" s="187" t="str">
        <f>Q5</f>
        <v>201 / 2152</v>
      </c>
      <c r="I32" s="188">
        <f t="shared" ref="I32:J34" si="8">M5</f>
        <v>4.670074349442379E-2</v>
      </c>
      <c r="J32" s="189">
        <f t="shared" si="8"/>
        <v>63</v>
      </c>
      <c r="K32" s="190">
        <v>0.45236479525361456</v>
      </c>
      <c r="L32" s="191" t="s">
        <v>340</v>
      </c>
      <c r="M32" s="192" t="s">
        <v>341</v>
      </c>
      <c r="N32" s="192" t="s">
        <v>342</v>
      </c>
      <c r="O32" s="195" t="s">
        <v>320</v>
      </c>
      <c r="Q32" s="26">
        <v>3</v>
      </c>
      <c r="R32" s="193">
        <f>Q32*K32</f>
        <v>1.3570943857608437</v>
      </c>
      <c r="S32" s="114"/>
    </row>
    <row r="33" spans="1:19" ht="44" customHeight="1" thickBot="1">
      <c r="A33" s="506"/>
      <c r="B33" s="183" t="str">
        <f>A6</f>
        <v>(**) 20221104-ECA EMP-KN 24m, ERC+45DM [Empa vs Pl], -ERC =Mort. Herrington</v>
      </c>
      <c r="C33" s="184" t="s">
        <v>121</v>
      </c>
      <c r="D33" s="185"/>
      <c r="E33" s="186">
        <f>H6</f>
        <v>2</v>
      </c>
      <c r="F33" s="187" t="str">
        <f>P6</f>
        <v>359 / 3304</v>
      </c>
      <c r="G33" s="188">
        <f>L6</f>
        <v>5.4328087167070216E-2</v>
      </c>
      <c r="H33" s="187" t="str">
        <f>Q6</f>
        <v>474 / 3305</v>
      </c>
      <c r="I33" s="188">
        <f t="shared" si="8"/>
        <v>7.170953101361574E-2</v>
      </c>
      <c r="J33" s="189">
        <f t="shared" si="8"/>
        <v>61.8</v>
      </c>
      <c r="K33" s="190">
        <v>0.5476352047463855</v>
      </c>
      <c r="L33" s="191" t="s">
        <v>343</v>
      </c>
      <c r="M33" s="192" t="s">
        <v>344</v>
      </c>
      <c r="N33" s="192" t="s">
        <v>345</v>
      </c>
      <c r="O33" s="195" t="s">
        <v>319</v>
      </c>
      <c r="Q33" s="26">
        <v>3.5</v>
      </c>
      <c r="R33" s="193">
        <f t="shared" ref="R33" si="9">Q33*K33</f>
        <v>1.9167232166123491</v>
      </c>
      <c r="S33" s="114"/>
    </row>
    <row r="34" spans="1:19" ht="21.5" thickBot="1">
      <c r="A34" s="196" t="s">
        <v>122</v>
      </c>
      <c r="B34" s="197">
        <f>COUNT(E32:E33)</f>
        <v>2</v>
      </c>
      <c r="C34" s="198"/>
      <c r="D34" s="516" t="s">
        <v>346</v>
      </c>
      <c r="E34" s="200">
        <f>H7</f>
        <v>2</v>
      </c>
      <c r="F34" s="201" t="str">
        <f>P7</f>
        <v>471 / 5456</v>
      </c>
      <c r="G34" s="202">
        <f>L7</f>
        <v>4.3163489736070385E-2</v>
      </c>
      <c r="H34" s="201" t="str">
        <f>Q7</f>
        <v>675 / 5457</v>
      </c>
      <c r="I34" s="202">
        <f t="shared" si="8"/>
        <v>6.1847168774051678E-2</v>
      </c>
      <c r="J34" s="200">
        <f t="shared" si="8"/>
        <v>62.273270411435895</v>
      </c>
      <c r="K34" s="203">
        <v>1</v>
      </c>
      <c r="L34" s="507" t="s">
        <v>419</v>
      </c>
      <c r="M34" s="204"/>
      <c r="N34" s="205"/>
      <c r="O34" s="485" t="s">
        <v>319</v>
      </c>
      <c r="R34" s="206">
        <f>SUM(R32:R33)</f>
        <v>3.2738176023731929</v>
      </c>
      <c r="S34" s="114"/>
    </row>
    <row r="35" spans="1:19" ht="39" customHeight="1" thickBot="1">
      <c r="A35" s="207"/>
      <c r="B35" s="207"/>
      <c r="C35" s="208"/>
      <c r="D35" s="479" t="s">
        <v>227</v>
      </c>
      <c r="E35" s="210"/>
      <c r="F35" s="211"/>
      <c r="G35" s="212"/>
      <c r="H35" s="211"/>
      <c r="I35" s="213"/>
      <c r="J35" s="214"/>
      <c r="K35" s="480"/>
      <c r="L35" s="483" t="s">
        <v>228</v>
      </c>
      <c r="M35" s="652" t="s">
        <v>329</v>
      </c>
      <c r="N35" s="651" t="s">
        <v>414</v>
      </c>
      <c r="O35" s="484" t="s">
        <v>320</v>
      </c>
    </row>
    <row r="36" spans="1:19" ht="13.5" thickBot="1">
      <c r="A36" s="207"/>
      <c r="B36" s="207"/>
      <c r="C36" s="208"/>
      <c r="D36" s="209"/>
      <c r="E36" s="210"/>
      <c r="F36" s="211"/>
      <c r="G36" s="212"/>
      <c r="H36" s="211"/>
      <c r="I36" s="213"/>
      <c r="J36" s="214"/>
      <c r="K36" s="215"/>
      <c r="L36" s="204"/>
      <c r="M36" s="205"/>
      <c r="N36" s="205"/>
      <c r="O36" s="215"/>
    </row>
    <row r="37" spans="1:19" ht="47" thickBot="1">
      <c r="A37" s="216"/>
      <c r="B37" s="681" t="s">
        <v>123</v>
      </c>
      <c r="C37" s="682"/>
      <c r="D37" s="682"/>
      <c r="E37" s="682"/>
      <c r="F37" s="682"/>
      <c r="G37" s="682"/>
      <c r="H37" s="682"/>
      <c r="I37" s="683"/>
      <c r="J37" s="217" t="s">
        <v>124</v>
      </c>
      <c r="K37" s="218" t="s">
        <v>125</v>
      </c>
      <c r="L37" s="219" t="s">
        <v>119</v>
      </c>
      <c r="M37" s="220" t="s">
        <v>95</v>
      </c>
      <c r="N37" s="221" t="s">
        <v>96</v>
      </c>
      <c r="O37" s="205"/>
    </row>
    <row r="38" spans="1:19" ht="19.5" customHeight="1">
      <c r="A38" s="684" t="s">
        <v>126</v>
      </c>
      <c r="B38" s="222" t="s">
        <v>127</v>
      </c>
      <c r="C38" s="223">
        <f>I34</f>
        <v>6.1847168774051678E-2</v>
      </c>
      <c r="D38" s="224" t="s">
        <v>128</v>
      </c>
      <c r="E38" s="224"/>
      <c r="F38" s="224"/>
      <c r="G38" s="224"/>
      <c r="H38" s="225">
        <f>J34</f>
        <v>62.273270411435895</v>
      </c>
      <c r="I38" s="226" t="s">
        <v>129</v>
      </c>
      <c r="J38" s="227" t="s">
        <v>417</v>
      </c>
      <c r="K38" s="228" t="s">
        <v>418</v>
      </c>
      <c r="L38" s="508" t="s">
        <v>419</v>
      </c>
      <c r="M38" s="229" t="s">
        <v>420</v>
      </c>
      <c r="N38" s="509" t="s">
        <v>421</v>
      </c>
      <c r="O38" s="230" t="s">
        <v>130</v>
      </c>
    </row>
    <row r="39" spans="1:19" ht="19" thickBot="1">
      <c r="A39" s="685"/>
      <c r="B39" s="231" t="s">
        <v>127</v>
      </c>
      <c r="C39" s="232">
        <f>I34*E34</f>
        <v>0.12369433754810336</v>
      </c>
      <c r="D39" s="233" t="s">
        <v>131</v>
      </c>
      <c r="E39" s="234"/>
      <c r="F39" s="235"/>
      <c r="G39" s="236">
        <f>E34</f>
        <v>2</v>
      </c>
      <c r="H39" s="233" t="s">
        <v>132</v>
      </c>
      <c r="I39" s="237"/>
      <c r="J39" s="238" t="s">
        <v>422</v>
      </c>
      <c r="K39" s="239" t="s">
        <v>330</v>
      </c>
      <c r="L39" s="510" t="s">
        <v>419</v>
      </c>
      <c r="M39" s="240" t="s">
        <v>423</v>
      </c>
      <c r="N39" s="511" t="s">
        <v>424</v>
      </c>
      <c r="O39" s="241" t="s">
        <v>442</v>
      </c>
    </row>
    <row r="40" spans="1:19" ht="19" thickBot="1">
      <c r="A40" s="242"/>
      <c r="B40" s="243"/>
      <c r="C40" s="244"/>
      <c r="D40" s="245"/>
      <c r="E40" s="246"/>
      <c r="F40" s="247"/>
      <c r="G40" s="248"/>
      <c r="H40" s="245"/>
      <c r="I40" s="247"/>
      <c r="J40" s="249"/>
      <c r="K40" s="249"/>
      <c r="L40" s="250"/>
      <c r="M40" s="251"/>
      <c r="N40" s="251"/>
      <c r="O40" s="252"/>
    </row>
    <row r="41" spans="1:19" ht="19" thickBot="1">
      <c r="A41" s="253"/>
      <c r="B41" s="253"/>
      <c r="C41" s="215"/>
      <c r="D41" s="215"/>
      <c r="E41" s="215"/>
      <c r="F41" s="215"/>
      <c r="G41" s="215"/>
      <c r="H41" s="215"/>
      <c r="I41" s="254"/>
      <c r="J41" s="255"/>
      <c r="K41" s="256" t="s">
        <v>133</v>
      </c>
      <c r="L41" s="512" t="s">
        <v>329</v>
      </c>
      <c r="M41" s="257"/>
      <c r="N41" s="258"/>
      <c r="O41" s="259"/>
    </row>
    <row r="42" spans="1:19">
      <c r="A42" s="111"/>
      <c r="C42" s="1"/>
      <c r="I42" s="108" t="s">
        <v>134</v>
      </c>
      <c r="J42" s="260">
        <f>G39</f>
        <v>2</v>
      </c>
      <c r="K42" s="260">
        <f>J42</f>
        <v>2</v>
      </c>
    </row>
    <row r="43" spans="1:19">
      <c r="A43" s="111"/>
      <c r="C43" s="1"/>
      <c r="I43" s="14"/>
      <c r="J43" s="3" t="s">
        <v>84</v>
      </c>
      <c r="K43" s="3" t="s">
        <v>85</v>
      </c>
      <c r="L43" s="3" t="s">
        <v>135</v>
      </c>
    </row>
    <row r="44" spans="1:19" ht="17">
      <c r="I44" s="261" t="s">
        <v>258</v>
      </c>
      <c r="J44" s="513">
        <f>J38*100*J42</f>
        <v>7.42</v>
      </c>
      <c r="K44" s="514">
        <f>K38*100*K42</f>
        <v>11.26</v>
      </c>
      <c r="L44" s="515">
        <f>((J44*I7)+(K44*J7))/K7</f>
        <v>9.340175936955923</v>
      </c>
      <c r="M44" s="262"/>
      <c r="N44" s="262"/>
    </row>
    <row r="45" spans="1:19">
      <c r="B45" s="1"/>
      <c r="C45" s="1"/>
    </row>
    <row r="46" spans="1:19">
      <c r="B46" s="1"/>
      <c r="C46" s="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</sheetData>
  <mergeCells count="19">
    <mergeCell ref="B3:D3"/>
    <mergeCell ref="E3:G3"/>
    <mergeCell ref="I3:K3"/>
    <mergeCell ref="L3:M3"/>
    <mergeCell ref="D9:F9"/>
    <mergeCell ref="L30:O30"/>
    <mergeCell ref="B37:I37"/>
    <mergeCell ref="A38:A39"/>
    <mergeCell ref="F30:F31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</mergeCells>
  <pageMargins left="0.7" right="0.7" top="0.75" bottom="0.75" header="0.3" footer="0.3"/>
  <pageSetup paperSize="9" orientation="portrait" r:id="rId1"/>
  <ignoredErrors>
    <ignoredError sqref="H7" formula="1"/>
    <ignoredError sqref="J38:N38 J39:N3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8104F-C00B-4C43-BB2E-EF29002282FA}">
  <dimension ref="A1:S65"/>
  <sheetViews>
    <sheetView zoomScale="70" zoomScaleNormal="70" workbookViewId="0"/>
  </sheetViews>
  <sheetFormatPr baseColWidth="10" defaultColWidth="16" defaultRowHeight="13"/>
  <cols>
    <col min="1" max="1" width="22.26953125" style="1" customWidth="1"/>
    <col min="2" max="2" width="23.54296875" style="111" customWidth="1"/>
    <col min="3" max="3" width="15" style="111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4"/>
    </row>
    <row r="2" spans="1:19" ht="20.25" customHeight="1">
      <c r="A2" s="115" t="s">
        <v>76</v>
      </c>
      <c r="B2" s="116" t="str">
        <f>A4</f>
        <v>Declinación de FGe hasta &lt;15 ml/min</v>
      </c>
      <c r="C2" s="117"/>
      <c r="O2" s="118"/>
      <c r="P2" s="119"/>
    </row>
    <row r="3" spans="1:19" ht="26">
      <c r="A3" s="12" t="s">
        <v>6</v>
      </c>
      <c r="B3" s="694" t="s">
        <v>77</v>
      </c>
      <c r="C3" s="695"/>
      <c r="D3" s="696"/>
      <c r="E3" s="694" t="s">
        <v>78</v>
      </c>
      <c r="F3" s="695"/>
      <c r="G3" s="696"/>
      <c r="H3" s="120" t="s">
        <v>79</v>
      </c>
      <c r="I3" s="694" t="s">
        <v>80</v>
      </c>
      <c r="J3" s="695"/>
      <c r="K3" s="696"/>
      <c r="L3" s="694" t="s">
        <v>81</v>
      </c>
      <c r="M3" s="696"/>
      <c r="N3" s="121" t="s">
        <v>82</v>
      </c>
      <c r="O3" s="119"/>
    </row>
    <row r="4" spans="1:19" ht="26">
      <c r="A4" s="503" t="s">
        <v>375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22" t="s">
        <v>83</v>
      </c>
      <c r="I4" s="123" t="s">
        <v>84</v>
      </c>
      <c r="J4" s="124" t="s">
        <v>85</v>
      </c>
      <c r="K4" s="123" t="s">
        <v>11</v>
      </c>
      <c r="L4" s="125" t="s">
        <v>84</v>
      </c>
      <c r="M4" s="126" t="s">
        <v>86</v>
      </c>
      <c r="N4" s="127" t="s">
        <v>83</v>
      </c>
      <c r="O4" s="663"/>
      <c r="P4" s="664" t="s">
        <v>87</v>
      </c>
      <c r="Q4" s="664" t="s">
        <v>87</v>
      </c>
    </row>
    <row r="5" spans="1:19">
      <c r="A5" s="583" t="s">
        <v>434</v>
      </c>
      <c r="B5" s="29">
        <v>78</v>
      </c>
      <c r="C5" s="30">
        <v>2200</v>
      </c>
      <c r="D5" s="31">
        <v>2202</v>
      </c>
      <c r="E5" s="29">
        <v>125</v>
      </c>
      <c r="F5" s="30">
        <v>2194</v>
      </c>
      <c r="G5" s="31">
        <v>2199</v>
      </c>
      <c r="H5" s="128">
        <v>2.5</v>
      </c>
      <c r="I5" s="129">
        <f t="shared" ref="I5:I7" si="0">D5*H5</f>
        <v>5505</v>
      </c>
      <c r="J5" s="129">
        <f t="shared" ref="J5:J7" si="1">G5*H5</f>
        <v>5497.5</v>
      </c>
      <c r="K5" s="129">
        <f>I5+J5</f>
        <v>11002.5</v>
      </c>
      <c r="L5" s="130">
        <f t="shared" ref="L5:L8" si="2">B5/I5</f>
        <v>1.4168937329700272E-2</v>
      </c>
      <c r="M5" s="130">
        <f t="shared" ref="M5:M8" si="3">E5/J5</f>
        <v>2.2737608003638016E-2</v>
      </c>
      <c r="N5" s="131">
        <v>63</v>
      </c>
      <c r="O5" s="665">
        <f>N5*(D5+G5)</f>
        <v>277263</v>
      </c>
      <c r="P5" s="663" t="str">
        <f t="shared" ref="P5:P8" si="4">CONCATENATE(B5," ",$P$4," ",D5)</f>
        <v>78 / 2202</v>
      </c>
      <c r="Q5" s="663" t="str">
        <f t="shared" ref="Q5:Q8" si="5">CONCATENATE(E5," ",$Q$4," ",G5)</f>
        <v>125 / 2199</v>
      </c>
    </row>
    <row r="6" spans="1:19">
      <c r="A6" s="583" t="s">
        <v>435</v>
      </c>
      <c r="B6" s="29">
        <v>84</v>
      </c>
      <c r="C6" s="30">
        <v>2150</v>
      </c>
      <c r="D6" s="31">
        <v>2152</v>
      </c>
      <c r="E6" s="29">
        <v>120</v>
      </c>
      <c r="F6" s="30">
        <v>2146</v>
      </c>
      <c r="G6" s="31">
        <v>2152</v>
      </c>
      <c r="H6" s="128">
        <v>2</v>
      </c>
      <c r="I6" s="129">
        <f t="shared" si="0"/>
        <v>4304</v>
      </c>
      <c r="J6" s="129">
        <f t="shared" si="1"/>
        <v>4304</v>
      </c>
      <c r="K6" s="129">
        <f t="shared" ref="K6:K7" si="6">I6+J6</f>
        <v>8608</v>
      </c>
      <c r="L6" s="130">
        <f t="shared" si="2"/>
        <v>1.9516728624535316E-2</v>
      </c>
      <c r="M6" s="130">
        <f t="shared" si="3"/>
        <v>2.7881040892193308E-2</v>
      </c>
      <c r="N6" s="131">
        <v>61.8</v>
      </c>
      <c r="O6" s="665">
        <f t="shared" ref="O6:O7" si="7">N6*(D6+G6)</f>
        <v>265987.20000000001</v>
      </c>
      <c r="P6" s="663" t="str">
        <f t="shared" si="4"/>
        <v>84 / 2152</v>
      </c>
      <c r="Q6" s="663" t="str">
        <f t="shared" si="5"/>
        <v>120 / 2152</v>
      </c>
    </row>
    <row r="7" spans="1:19">
      <c r="A7" s="583" t="s">
        <v>445</v>
      </c>
      <c r="B7" s="29">
        <v>116</v>
      </c>
      <c r="C7" s="30">
        <v>3300</v>
      </c>
      <c r="D7" s="31">
        <v>3304</v>
      </c>
      <c r="E7" s="29">
        <v>167</v>
      </c>
      <c r="F7" s="30">
        <v>3301</v>
      </c>
      <c r="G7" s="31">
        <v>3305</v>
      </c>
      <c r="H7" s="128">
        <v>2</v>
      </c>
      <c r="I7" s="129">
        <f t="shared" si="0"/>
        <v>6608</v>
      </c>
      <c r="J7" s="129">
        <f t="shared" si="1"/>
        <v>6610</v>
      </c>
      <c r="K7" s="129">
        <f t="shared" si="6"/>
        <v>13218</v>
      </c>
      <c r="L7" s="130">
        <f t="shared" si="2"/>
        <v>1.7554479418886198E-2</v>
      </c>
      <c r="M7" s="130">
        <f t="shared" si="3"/>
        <v>2.5264750378214827E-2</v>
      </c>
      <c r="N7" s="131">
        <v>64</v>
      </c>
      <c r="O7" s="665">
        <f t="shared" si="7"/>
        <v>422976</v>
      </c>
      <c r="P7" s="663" t="str">
        <f t="shared" si="4"/>
        <v>116 / 3304</v>
      </c>
      <c r="Q7" s="663" t="str">
        <f t="shared" si="5"/>
        <v>167 / 3305</v>
      </c>
    </row>
    <row r="8" spans="1:19">
      <c r="A8" s="517">
        <f>COUNT(D5:D7)</f>
        <v>3</v>
      </c>
      <c r="B8" s="132">
        <f>SUM(B5:B7)</f>
        <v>278</v>
      </c>
      <c r="C8" s="133">
        <v>23009</v>
      </c>
      <c r="D8" s="132">
        <f>SUM(D5:D7)</f>
        <v>7658</v>
      </c>
      <c r="E8" s="132">
        <f>SUM(E5:E7)</f>
        <v>412</v>
      </c>
      <c r="F8" s="133">
        <v>28669.98</v>
      </c>
      <c r="G8" s="132">
        <f>SUM(G5:G7)</f>
        <v>7656</v>
      </c>
      <c r="H8" s="522">
        <f>K8/(D8+G8)</f>
        <v>2.1436920464934048</v>
      </c>
      <c r="I8" s="135">
        <f>SUM(I5:I7)</f>
        <v>16417</v>
      </c>
      <c r="J8" s="135">
        <f>SUM(J5:J7)</f>
        <v>16411.5</v>
      </c>
      <c r="K8" s="135">
        <f>SUM(K5:K7)</f>
        <v>32828.5</v>
      </c>
      <c r="L8" s="136">
        <f t="shared" si="2"/>
        <v>1.693366632149601E-2</v>
      </c>
      <c r="M8" s="136">
        <f t="shared" si="3"/>
        <v>2.510434756116138E-2</v>
      </c>
      <c r="N8" s="137">
        <f>O8/(D8+G8)</f>
        <v>63.094305863915366</v>
      </c>
      <c r="O8" s="666">
        <f>SUM(O5:O7)</f>
        <v>966226.2</v>
      </c>
      <c r="P8" s="667" t="str">
        <f t="shared" si="4"/>
        <v>278 / 7658</v>
      </c>
      <c r="Q8" s="667" t="str">
        <f t="shared" si="5"/>
        <v>412 / 7656</v>
      </c>
    </row>
    <row r="9" spans="1:19" ht="15" thickBot="1">
      <c r="A9" s="518" t="s">
        <v>282</v>
      </c>
      <c r="B9" s="1"/>
      <c r="C9" s="1"/>
      <c r="E9" s="138"/>
      <c r="F9" s="10"/>
      <c r="S9" s="114"/>
    </row>
    <row r="10" spans="1:19" ht="15" thickBot="1">
      <c r="B10" s="139" t="s">
        <v>88</v>
      </c>
      <c r="C10" s="140">
        <v>5.3815990199267756E-2</v>
      </c>
      <c r="D10" s="697" t="s">
        <v>89</v>
      </c>
      <c r="E10" s="698"/>
      <c r="F10" s="699"/>
      <c r="H10" s="96"/>
      <c r="S10" s="114"/>
    </row>
    <row r="11" spans="1:19" ht="26.5" thickBot="1">
      <c r="A11" s="141">
        <f>I36</f>
        <v>2.510434756116138E-2</v>
      </c>
      <c r="B11" s="118" t="s">
        <v>90</v>
      </c>
      <c r="C11" s="14"/>
      <c r="D11" s="142" t="s">
        <v>91</v>
      </c>
      <c r="E11" s="143" t="s">
        <v>92</v>
      </c>
      <c r="F11" s="142" t="s">
        <v>93</v>
      </c>
      <c r="S11" s="114"/>
    </row>
    <row r="12" spans="1:19" ht="15" thickBot="1">
      <c r="A12" s="144">
        <f>E36</f>
        <v>2.1436920464934048</v>
      </c>
      <c r="B12" s="145" t="s">
        <v>94</v>
      </c>
      <c r="C12" s="14"/>
      <c r="D12" s="146">
        <v>0.67475323992931191</v>
      </c>
      <c r="E12" s="147">
        <v>0.57956834587950323</v>
      </c>
      <c r="F12" s="148">
        <v>0.78557293584910415</v>
      </c>
      <c r="G12" s="14"/>
      <c r="S12" s="114"/>
    </row>
    <row r="13" spans="1:19" ht="14.5" hidden="1">
      <c r="A13" s="149"/>
      <c r="B13" s="150"/>
      <c r="C13" s="1"/>
      <c r="S13" s="114"/>
    </row>
    <row r="14" spans="1:19" ht="14.5" hidden="1">
      <c r="A14" s="149"/>
      <c r="B14" s="150"/>
      <c r="C14" s="545" t="s">
        <v>371</v>
      </c>
      <c r="D14" s="546">
        <f>C10*D12</f>
        <v>3.6312513746960012E-2</v>
      </c>
      <c r="E14" s="546">
        <f>C10*E12</f>
        <v>3.1190044421657171E-2</v>
      </c>
      <c r="F14" s="546">
        <f>C10*F12</f>
        <v>4.227638541646539E-2</v>
      </c>
      <c r="S14" s="114"/>
    </row>
    <row r="15" spans="1:19" ht="14.5" hidden="1">
      <c r="A15" s="149"/>
      <c r="B15" s="150"/>
      <c r="C15" s="544"/>
      <c r="S15" s="114"/>
    </row>
    <row r="16" spans="1:19" ht="14.5" hidden="1">
      <c r="A16" s="149"/>
      <c r="B16" s="150"/>
      <c r="C16" s="547" t="s">
        <v>95</v>
      </c>
      <c r="D16" s="548">
        <f>C10-D14</f>
        <v>1.7503476452307744E-2</v>
      </c>
      <c r="E16" s="549">
        <f>C10-F14</f>
        <v>1.1539604782802367E-2</v>
      </c>
      <c r="F16" s="549">
        <f>C10-E14</f>
        <v>2.2625945777610585E-2</v>
      </c>
      <c r="S16" s="114"/>
    </row>
    <row r="17" spans="1:19" ht="14.5" hidden="1">
      <c r="A17" s="149"/>
      <c r="B17" s="150"/>
      <c r="C17" s="547" t="s">
        <v>96</v>
      </c>
      <c r="D17" s="550">
        <f>1/D16</f>
        <v>57.131507716465954</v>
      </c>
      <c r="E17" s="550">
        <f>1/F16</f>
        <v>44.197047488266591</v>
      </c>
      <c r="F17" s="550">
        <f>1/E16</f>
        <v>86.658080482124817</v>
      </c>
      <c r="S17" s="114"/>
    </row>
    <row r="18" spans="1:19" ht="14.5" hidden="1">
      <c r="A18" s="149"/>
      <c r="B18" s="150"/>
      <c r="C18" s="14"/>
      <c r="D18" s="14"/>
      <c r="E18" s="14"/>
      <c r="F18" s="14"/>
      <c r="S18" s="114"/>
    </row>
    <row r="19" spans="1:19" ht="14.5" hidden="1">
      <c r="A19" s="149"/>
      <c r="B19" s="151" t="s">
        <v>97</v>
      </c>
      <c r="C19" s="152"/>
      <c r="D19" s="152"/>
      <c r="E19" s="153">
        <f>ROUND(D12,2)</f>
        <v>0.67</v>
      </c>
      <c r="F19" s="154">
        <f>ROUND(D16,4)</f>
        <v>1.7500000000000002E-2</v>
      </c>
      <c r="G19" s="155">
        <f>ROUND(D17,0)</f>
        <v>57</v>
      </c>
      <c r="S19" s="114"/>
    </row>
    <row r="20" spans="1:19" ht="14.5" hidden="1">
      <c r="A20" s="149"/>
      <c r="B20" s="156" t="s">
        <v>98</v>
      </c>
      <c r="C20" s="157">
        <f>ROUND(D14,4)</f>
        <v>3.6299999999999999E-2</v>
      </c>
      <c r="D20" s="158">
        <f>ROUND(C10,4)</f>
        <v>5.3800000000000001E-2</v>
      </c>
      <c r="E20" s="159">
        <f>ROUND(E12,2)</f>
        <v>0.57999999999999996</v>
      </c>
      <c r="F20" s="160">
        <f>ROUND(E16,4)</f>
        <v>1.15E-2</v>
      </c>
      <c r="G20" s="161">
        <f>ROUND(E17,0)</f>
        <v>44</v>
      </c>
      <c r="S20" s="114"/>
    </row>
    <row r="21" spans="1:19" ht="14.5" hidden="1">
      <c r="A21" s="149"/>
      <c r="B21" s="156" t="s">
        <v>99</v>
      </c>
      <c r="C21" s="162"/>
      <c r="D21" s="162"/>
      <c r="E21" s="159">
        <f>ROUND(F12,2)</f>
        <v>0.79</v>
      </c>
      <c r="F21" s="160">
        <f>ROUND(F16,4)</f>
        <v>2.2599999999999999E-2</v>
      </c>
      <c r="G21" s="161">
        <f>ROUND(F17,0)</f>
        <v>87</v>
      </c>
      <c r="S21" s="114"/>
    </row>
    <row r="22" spans="1:19" ht="14.5" hidden="1">
      <c r="A22" s="149"/>
      <c r="B22" s="156" t="s">
        <v>100</v>
      </c>
      <c r="C22" s="163" t="s">
        <v>101</v>
      </c>
      <c r="D22" s="163" t="s">
        <v>102</v>
      </c>
      <c r="E22" s="164" t="s">
        <v>103</v>
      </c>
      <c r="F22" s="164" t="s">
        <v>104</v>
      </c>
      <c r="G22" s="163" t="s">
        <v>96</v>
      </c>
      <c r="S22" s="114"/>
    </row>
    <row r="23" spans="1:19" ht="14.5" hidden="1">
      <c r="A23" s="149"/>
      <c r="B23" s="165" t="s">
        <v>105</v>
      </c>
      <c r="C23" s="163" t="str">
        <f>CONCATENATE(C20*100,B22)</f>
        <v>3,63%</v>
      </c>
      <c r="D23" s="163" t="str">
        <f>CONCATENATE(D20*100,B22)</f>
        <v>5,38%</v>
      </c>
      <c r="E23" s="163" t="str">
        <f>CONCATENATE(E19," ",B19,E20,B20,E21,B21)</f>
        <v>0,67 (0,58-0,79)</v>
      </c>
      <c r="F23" s="163" t="str">
        <f>CONCATENATE(F19*100,B22," ",B19,F20*100,B22," ",B23," ",F21*100,B22,B21)</f>
        <v>1,75% (1,15% a 2,26%)</v>
      </c>
      <c r="G23" s="163" t="str">
        <f>CONCATENATE(G19," ",B19,G20," ",B23," ",G21,B21)</f>
        <v>57 (44 a 87)</v>
      </c>
      <c r="S23" s="114"/>
    </row>
    <row r="24" spans="1:19" ht="14.5" hidden="1">
      <c r="A24" s="166"/>
      <c r="B24" s="150"/>
      <c r="D24" s="111"/>
      <c r="E24" s="111"/>
      <c r="F24" s="111"/>
      <c r="G24" s="111"/>
      <c r="S24" s="114"/>
    </row>
    <row r="25" spans="1:19" ht="15" thickBot="1">
      <c r="A25" s="141">
        <f>A11*A12</f>
        <v>5.3815990199267756E-2</v>
      </c>
      <c r="B25" s="118" t="s">
        <v>106</v>
      </c>
      <c r="C25" s="1"/>
      <c r="S25" s="114"/>
    </row>
    <row r="26" spans="1:19" ht="15" thickBot="1">
      <c r="A26" s="167"/>
      <c r="B26" s="1"/>
      <c r="C26" s="168" t="s">
        <v>107</v>
      </c>
      <c r="D26" s="169" t="s">
        <v>102</v>
      </c>
      <c r="E26" s="169" t="s">
        <v>103</v>
      </c>
      <c r="F26" s="169" t="s">
        <v>95</v>
      </c>
      <c r="G26" s="170" t="s">
        <v>96</v>
      </c>
      <c r="S26" s="114"/>
    </row>
    <row r="27" spans="1:19" ht="26.5" thickBot="1">
      <c r="A27" s="171"/>
      <c r="B27" s="172"/>
      <c r="C27" s="173" t="str">
        <f>C23</f>
        <v>3,63%</v>
      </c>
      <c r="D27" s="174" t="str">
        <f>D23</f>
        <v>5,38%</v>
      </c>
      <c r="E27" s="174" t="str">
        <f>E23</f>
        <v>0,67 (0,58-0,79)</v>
      </c>
      <c r="F27" s="174" t="str">
        <f>F23</f>
        <v>1,75% (1,15% a 2,26%)</v>
      </c>
      <c r="G27" s="175" t="str">
        <f>G23</f>
        <v>57 (44 a 87)</v>
      </c>
      <c r="S27" s="114"/>
    </row>
    <row r="28" spans="1:19" ht="14.5">
      <c r="B28" s="1"/>
      <c r="C28" s="1"/>
      <c r="E28" s="138"/>
      <c r="F28" s="10"/>
      <c r="S28" s="114"/>
    </row>
    <row r="29" spans="1:19" ht="15" thickBot="1">
      <c r="D29" s="138"/>
      <c r="E29" s="138"/>
      <c r="S29" s="114"/>
    </row>
    <row r="30" spans="1:19" ht="22.5" customHeight="1" thickBot="1">
      <c r="A30" s="650" t="s">
        <v>409</v>
      </c>
      <c r="B30" s="176" t="str">
        <f>B2</f>
        <v>Declinación de FGe hasta &lt;15 ml/min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S30" s="114"/>
    </row>
    <row r="31" spans="1:19" ht="36" customHeight="1" thickBot="1">
      <c r="A31" s="690" t="s">
        <v>108</v>
      </c>
      <c r="B31" s="686" t="s">
        <v>109</v>
      </c>
      <c r="C31" s="692" t="s">
        <v>110</v>
      </c>
      <c r="D31" s="690" t="s">
        <v>283</v>
      </c>
      <c r="E31" s="686" t="s">
        <v>111</v>
      </c>
      <c r="F31" s="686" t="s">
        <v>112</v>
      </c>
      <c r="G31" s="686" t="s">
        <v>113</v>
      </c>
      <c r="H31" s="686" t="s">
        <v>114</v>
      </c>
      <c r="I31" s="686" t="s">
        <v>115</v>
      </c>
      <c r="J31" s="686" t="s">
        <v>116</v>
      </c>
      <c r="K31" s="688" t="s">
        <v>117</v>
      </c>
      <c r="L31" s="678" t="s">
        <v>118</v>
      </c>
      <c r="M31" s="679"/>
      <c r="N31" s="679"/>
      <c r="O31" s="680"/>
      <c r="S31" s="114"/>
    </row>
    <row r="32" spans="1:19" ht="43.5" customHeight="1" thickBot="1">
      <c r="A32" s="691"/>
      <c r="B32" s="687"/>
      <c r="C32" s="693"/>
      <c r="D32" s="691"/>
      <c r="E32" s="687"/>
      <c r="F32" s="687"/>
      <c r="G32" s="687"/>
      <c r="H32" s="687"/>
      <c r="I32" s="687"/>
      <c r="J32" s="687"/>
      <c r="K32" s="689"/>
      <c r="L32" s="179" t="s">
        <v>119</v>
      </c>
      <c r="M32" s="180" t="s">
        <v>95</v>
      </c>
      <c r="N32" s="181" t="s">
        <v>96</v>
      </c>
      <c r="O32" s="182" t="s">
        <v>120</v>
      </c>
      <c r="S32" s="114"/>
    </row>
    <row r="33" spans="1:19" ht="44" customHeight="1">
      <c r="A33" s="523" t="s">
        <v>318</v>
      </c>
      <c r="B33" s="183" t="str">
        <f>A5</f>
        <v>20190613-ECA CREDENCE 30m, ERC+100DM [Cana vs Pl], -ERT -MACE. Perkovic</v>
      </c>
      <c r="C33" s="184" t="s">
        <v>121</v>
      </c>
      <c r="D33" s="185"/>
      <c r="E33" s="186">
        <f>H5</f>
        <v>2.5</v>
      </c>
      <c r="F33" s="187" t="str">
        <f>P5</f>
        <v>78 / 2202</v>
      </c>
      <c r="G33" s="188">
        <f>L5</f>
        <v>1.4168937329700272E-2</v>
      </c>
      <c r="H33" s="187" t="str">
        <f>Q5</f>
        <v>125 / 2199</v>
      </c>
      <c r="I33" s="188">
        <f t="shared" ref="I33:J36" si="8">M5</f>
        <v>2.2737608003638016E-2</v>
      </c>
      <c r="J33" s="189">
        <f t="shared" si="8"/>
        <v>63</v>
      </c>
      <c r="K33" s="190">
        <v>0.28952421042258564</v>
      </c>
      <c r="L33" s="191" t="s">
        <v>302</v>
      </c>
      <c r="M33" s="192" t="s">
        <v>303</v>
      </c>
      <c r="N33" s="192" t="s">
        <v>304</v>
      </c>
      <c r="O33" s="195" t="s">
        <v>320</v>
      </c>
      <c r="Q33" s="26">
        <v>3</v>
      </c>
      <c r="R33" s="193">
        <f>Q33*K33</f>
        <v>0.86857263126775686</v>
      </c>
      <c r="S33" s="114"/>
    </row>
    <row r="34" spans="1:19" ht="44" customHeight="1">
      <c r="A34" s="506"/>
      <c r="B34" s="183" t="str">
        <f>A6</f>
        <v>20201008-ECA DAPA-CKD 24m, ERC+67DM [Dapa vs Pl] –ERC -Mort. Heerspink</v>
      </c>
      <c r="C34" s="184" t="s">
        <v>121</v>
      </c>
      <c r="D34" s="185"/>
      <c r="E34" s="186">
        <f>H6</f>
        <v>2</v>
      </c>
      <c r="F34" s="187" t="str">
        <f>P6</f>
        <v>84 / 2152</v>
      </c>
      <c r="G34" s="188">
        <f>L6</f>
        <v>1.9516728624535316E-2</v>
      </c>
      <c r="H34" s="187" t="str">
        <f>Q6</f>
        <v>120 / 2152</v>
      </c>
      <c r="I34" s="188">
        <f t="shared" si="8"/>
        <v>2.7881040892193308E-2</v>
      </c>
      <c r="J34" s="189">
        <f t="shared" si="8"/>
        <v>61.8</v>
      </c>
      <c r="K34" s="190">
        <v>0.29793432798606889</v>
      </c>
      <c r="L34" s="191" t="s">
        <v>305</v>
      </c>
      <c r="M34" s="192" t="s">
        <v>306</v>
      </c>
      <c r="N34" s="192" t="s">
        <v>307</v>
      </c>
      <c r="O34" s="195" t="s">
        <v>319</v>
      </c>
      <c r="Q34" s="26">
        <v>3.5</v>
      </c>
      <c r="R34" s="193">
        <f t="shared" ref="R34:R35" si="9">Q34*K34</f>
        <v>1.042770147951241</v>
      </c>
      <c r="S34" s="114"/>
    </row>
    <row r="35" spans="1:19" ht="44" customHeight="1" thickBot="1">
      <c r="A35" s="194"/>
      <c r="B35" s="183" t="str">
        <f>A7</f>
        <v>(*) 20221104-ECA EMP-KN 24m, ERC [Empa vs Pl], -SLP-ERC =Mort. Herrington</v>
      </c>
      <c r="C35" s="184" t="s">
        <v>121</v>
      </c>
      <c r="D35" s="185"/>
      <c r="E35" s="186">
        <f>H7</f>
        <v>2</v>
      </c>
      <c r="F35" s="187" t="str">
        <f>P7</f>
        <v>116 / 3304</v>
      </c>
      <c r="G35" s="188">
        <f>L7</f>
        <v>1.7554479418886198E-2</v>
      </c>
      <c r="H35" s="187" t="str">
        <f>Q7</f>
        <v>167 / 3305</v>
      </c>
      <c r="I35" s="188">
        <f t="shared" si="8"/>
        <v>2.5264750378214827E-2</v>
      </c>
      <c r="J35" s="189">
        <f t="shared" si="8"/>
        <v>64</v>
      </c>
      <c r="K35" s="190">
        <v>0.41254146159134547</v>
      </c>
      <c r="L35" s="191" t="s">
        <v>308</v>
      </c>
      <c r="M35" s="192" t="s">
        <v>309</v>
      </c>
      <c r="N35" s="192" t="s">
        <v>310</v>
      </c>
      <c r="O35" s="195" t="s">
        <v>319</v>
      </c>
      <c r="Q35" s="26">
        <v>3.5</v>
      </c>
      <c r="R35" s="193">
        <f t="shared" si="9"/>
        <v>1.4438951155697091</v>
      </c>
      <c r="S35" s="114"/>
    </row>
    <row r="36" spans="1:19" ht="21.5" thickBot="1">
      <c r="A36" s="196" t="s">
        <v>122</v>
      </c>
      <c r="B36" s="197">
        <f>COUNT(E33:E35)</f>
        <v>3</v>
      </c>
      <c r="C36" s="198"/>
      <c r="D36" s="516" t="s">
        <v>271</v>
      </c>
      <c r="E36" s="200">
        <f>H8</f>
        <v>2.1436920464934048</v>
      </c>
      <c r="F36" s="201" t="str">
        <f>P8</f>
        <v>278 / 7658</v>
      </c>
      <c r="G36" s="202">
        <f>L8</f>
        <v>1.693366632149601E-2</v>
      </c>
      <c r="H36" s="201" t="str">
        <f>Q8</f>
        <v>412 / 7656</v>
      </c>
      <c r="I36" s="202">
        <f t="shared" si="8"/>
        <v>2.510434756116138E-2</v>
      </c>
      <c r="J36" s="200">
        <f t="shared" si="8"/>
        <v>63.094305863915366</v>
      </c>
      <c r="K36" s="203">
        <v>1</v>
      </c>
      <c r="L36" s="538" t="s">
        <v>300</v>
      </c>
      <c r="M36" s="204"/>
      <c r="N36" s="205"/>
      <c r="O36" s="485" t="s">
        <v>319</v>
      </c>
      <c r="R36" s="206">
        <f>SUM(R33:R35)</f>
        <v>3.3552378947887069</v>
      </c>
      <c r="S36" s="114"/>
    </row>
    <row r="37" spans="1:19" ht="21.5" customHeight="1" thickBot="1">
      <c r="A37" s="207"/>
      <c r="B37" s="207"/>
      <c r="C37" s="208"/>
      <c r="D37" s="479" t="s">
        <v>227</v>
      </c>
      <c r="E37" s="210"/>
      <c r="F37" s="211"/>
      <c r="G37" s="212"/>
      <c r="H37" s="211"/>
      <c r="I37" s="213"/>
      <c r="J37" s="214"/>
      <c r="K37" s="480"/>
      <c r="L37" s="481"/>
      <c r="M37" s="482"/>
      <c r="N37" s="483" t="s">
        <v>228</v>
      </c>
      <c r="O37" s="484" t="s">
        <v>320</v>
      </c>
    </row>
    <row r="38" spans="1:19" ht="13.5" thickBot="1">
      <c r="A38" s="207"/>
      <c r="B38" s="207"/>
      <c r="C38" s="208"/>
      <c r="D38" s="209"/>
      <c r="E38" s="210"/>
      <c r="F38" s="211"/>
      <c r="G38" s="212"/>
      <c r="H38" s="211"/>
      <c r="I38" s="213"/>
      <c r="J38" s="214"/>
      <c r="K38" s="215"/>
      <c r="L38" s="204"/>
      <c r="M38" s="205"/>
      <c r="N38" s="205"/>
      <c r="O38" s="215"/>
    </row>
    <row r="39" spans="1:19" ht="47" thickBot="1">
      <c r="A39" s="216"/>
      <c r="B39" s="681" t="s">
        <v>123</v>
      </c>
      <c r="C39" s="682"/>
      <c r="D39" s="682"/>
      <c r="E39" s="682"/>
      <c r="F39" s="682"/>
      <c r="G39" s="682"/>
      <c r="H39" s="682"/>
      <c r="I39" s="683"/>
      <c r="J39" s="217" t="s">
        <v>124</v>
      </c>
      <c r="K39" s="218" t="s">
        <v>125</v>
      </c>
      <c r="L39" s="219" t="s">
        <v>119</v>
      </c>
      <c r="M39" s="220" t="s">
        <v>95</v>
      </c>
      <c r="N39" s="221" t="s">
        <v>96</v>
      </c>
      <c r="O39" s="205"/>
    </row>
    <row r="40" spans="1:19" ht="19.5" customHeight="1">
      <c r="A40" s="684" t="s">
        <v>126</v>
      </c>
      <c r="B40" s="222" t="s">
        <v>127</v>
      </c>
      <c r="C40" s="223">
        <f>I36</f>
        <v>2.510434756116138E-2</v>
      </c>
      <c r="D40" s="224" t="s">
        <v>128</v>
      </c>
      <c r="E40" s="224"/>
      <c r="F40" s="224"/>
      <c r="G40" s="224"/>
      <c r="H40" s="225">
        <f>J36</f>
        <v>63.094305863915366</v>
      </c>
      <c r="I40" s="226" t="s">
        <v>129</v>
      </c>
      <c r="J40" s="227" t="s">
        <v>298</v>
      </c>
      <c r="K40" s="228" t="s">
        <v>299</v>
      </c>
      <c r="L40" s="508" t="s">
        <v>426</v>
      </c>
      <c r="M40" s="229" t="s">
        <v>429</v>
      </c>
      <c r="N40" s="509" t="s">
        <v>430</v>
      </c>
      <c r="O40" s="230" t="s">
        <v>130</v>
      </c>
    </row>
    <row r="41" spans="1:19" ht="19" thickBot="1">
      <c r="A41" s="685"/>
      <c r="B41" s="231" t="s">
        <v>127</v>
      </c>
      <c r="C41" s="232">
        <f>I36*E36</f>
        <v>5.3815990199267756E-2</v>
      </c>
      <c r="D41" s="233" t="s">
        <v>131</v>
      </c>
      <c r="E41" s="234"/>
      <c r="F41" s="235"/>
      <c r="G41" s="236">
        <f>E36</f>
        <v>2.1436920464934048</v>
      </c>
      <c r="H41" s="233" t="s">
        <v>132</v>
      </c>
      <c r="I41" s="237"/>
      <c r="J41" s="238" t="s">
        <v>425</v>
      </c>
      <c r="K41" s="239" t="s">
        <v>301</v>
      </c>
      <c r="L41" s="510" t="s">
        <v>426</v>
      </c>
      <c r="M41" s="240" t="s">
        <v>427</v>
      </c>
      <c r="N41" s="511" t="s">
        <v>428</v>
      </c>
      <c r="O41" s="241" t="s">
        <v>296</v>
      </c>
    </row>
    <row r="42" spans="1:19" ht="19" thickBot="1">
      <c r="A42" s="242"/>
      <c r="B42" s="243"/>
      <c r="C42" s="244"/>
      <c r="D42" s="245"/>
      <c r="E42" s="246"/>
      <c r="F42" s="247"/>
      <c r="G42" s="248"/>
      <c r="H42" s="245"/>
      <c r="I42" s="247"/>
      <c r="J42" s="249"/>
      <c r="K42" s="249"/>
      <c r="L42" s="250"/>
      <c r="M42" s="251"/>
      <c r="N42" s="251"/>
      <c r="O42" s="252"/>
    </row>
    <row r="43" spans="1:19" ht="19" thickBot="1">
      <c r="A43" s="253"/>
      <c r="B43" s="253"/>
      <c r="C43" s="215"/>
      <c r="D43" s="215"/>
      <c r="E43" s="215"/>
      <c r="F43" s="215"/>
      <c r="G43" s="215"/>
      <c r="H43" s="215"/>
      <c r="I43" s="254"/>
      <c r="J43" s="255"/>
      <c r="K43" s="256" t="s">
        <v>133</v>
      </c>
      <c r="L43" s="512" t="s">
        <v>415</v>
      </c>
      <c r="M43" s="257"/>
      <c r="N43" s="258"/>
      <c r="O43" s="259"/>
    </row>
    <row r="44" spans="1:19">
      <c r="A44" s="111"/>
      <c r="C44" s="1"/>
      <c r="I44" s="108" t="s">
        <v>134</v>
      </c>
      <c r="J44" s="260">
        <f>G41</f>
        <v>2.1436920464934048</v>
      </c>
      <c r="K44" s="260">
        <f>J44</f>
        <v>2.1436920464934048</v>
      </c>
    </row>
    <row r="45" spans="1:19">
      <c r="A45" s="111"/>
      <c r="C45" s="1"/>
      <c r="I45" s="14"/>
      <c r="J45" s="3" t="s">
        <v>84</v>
      </c>
      <c r="K45" s="3" t="s">
        <v>85</v>
      </c>
      <c r="L45" s="3" t="s">
        <v>135</v>
      </c>
    </row>
    <row r="46" spans="1:19" ht="17">
      <c r="I46" s="261" t="s">
        <v>258</v>
      </c>
      <c r="J46" s="513">
        <f>J40*100*J44</f>
        <v>3.6228395585738542</v>
      </c>
      <c r="K46" s="514">
        <f>K40*100*K44</f>
        <v>5.3806670366984468</v>
      </c>
      <c r="L46" s="515">
        <f>((J46*I8)+(K46*J8))/K8</f>
        <v>4.5016060467546035</v>
      </c>
      <c r="M46" s="262"/>
      <c r="N46" s="262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</sheetData>
  <mergeCells count="19">
    <mergeCell ref="B3:D3"/>
    <mergeCell ref="E3:G3"/>
    <mergeCell ref="I3:K3"/>
    <mergeCell ref="L3:M3"/>
    <mergeCell ref="D10:F10"/>
    <mergeCell ref="L31:O31"/>
    <mergeCell ref="B39:I39"/>
    <mergeCell ref="A40:A41"/>
    <mergeCell ref="F31:F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</mergeCells>
  <pageMargins left="0.7" right="0.7" top="0.75" bottom="0.75" header="0.3" footer="0.3"/>
  <pageSetup paperSize="9" orientation="portrait" r:id="rId1"/>
  <ignoredErrors>
    <ignoredError sqref="H8" formula="1"/>
    <ignoredError sqref="J41:K41 J40:N4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A2A8-30DD-4F64-9F6A-839E9B10A1F9}">
  <dimension ref="A1:S65"/>
  <sheetViews>
    <sheetView zoomScale="70" zoomScaleNormal="70" workbookViewId="0"/>
  </sheetViews>
  <sheetFormatPr baseColWidth="10" defaultColWidth="16" defaultRowHeight="13"/>
  <cols>
    <col min="1" max="1" width="22.453125" style="1" customWidth="1"/>
    <col min="2" max="2" width="23.54296875" style="111" customWidth="1"/>
    <col min="3" max="3" width="15" style="111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4"/>
    </row>
    <row r="2" spans="1:19" ht="20.25" customHeight="1">
      <c r="A2" s="115" t="s">
        <v>76</v>
      </c>
      <c r="B2" s="116" t="str">
        <f>A4</f>
        <v>Primer evento de [Diálisis o Trasplante renal]</v>
      </c>
      <c r="C2" s="117"/>
      <c r="O2" s="118"/>
      <c r="P2" s="119"/>
    </row>
    <row r="3" spans="1:19" ht="26">
      <c r="A3" s="12" t="s">
        <v>6</v>
      </c>
      <c r="B3" s="694" t="s">
        <v>77</v>
      </c>
      <c r="C3" s="695"/>
      <c r="D3" s="696"/>
      <c r="E3" s="694" t="s">
        <v>78</v>
      </c>
      <c r="F3" s="695"/>
      <c r="G3" s="696"/>
      <c r="H3" s="120" t="s">
        <v>79</v>
      </c>
      <c r="I3" s="694" t="s">
        <v>80</v>
      </c>
      <c r="J3" s="695"/>
      <c r="K3" s="696"/>
      <c r="L3" s="694" t="s">
        <v>81</v>
      </c>
      <c r="M3" s="696"/>
      <c r="N3" s="121" t="s">
        <v>82</v>
      </c>
      <c r="O3" s="119"/>
    </row>
    <row r="4" spans="1:19" ht="26">
      <c r="A4" s="721" t="s">
        <v>448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22" t="s">
        <v>83</v>
      </c>
      <c r="I4" s="123" t="s">
        <v>84</v>
      </c>
      <c r="J4" s="124" t="s">
        <v>85</v>
      </c>
      <c r="K4" s="123" t="s">
        <v>11</v>
      </c>
      <c r="L4" s="125" t="s">
        <v>84</v>
      </c>
      <c r="M4" s="126" t="s">
        <v>86</v>
      </c>
      <c r="N4" s="127" t="s">
        <v>83</v>
      </c>
      <c r="O4" s="663"/>
      <c r="P4" s="664" t="s">
        <v>87</v>
      </c>
      <c r="Q4" s="664" t="s">
        <v>87</v>
      </c>
    </row>
    <row r="5" spans="1:19">
      <c r="A5" s="28" t="s">
        <v>434</v>
      </c>
      <c r="B5" s="29">
        <v>76</v>
      </c>
      <c r="C5" s="30">
        <v>2200</v>
      </c>
      <c r="D5" s="31">
        <v>2202</v>
      </c>
      <c r="E5" s="29">
        <v>100</v>
      </c>
      <c r="F5" s="30">
        <v>2194</v>
      </c>
      <c r="G5" s="31">
        <v>2199</v>
      </c>
      <c r="H5" s="128">
        <v>2.5</v>
      </c>
      <c r="I5" s="129">
        <f t="shared" ref="I5:I7" si="0">D5*H5</f>
        <v>5505</v>
      </c>
      <c r="J5" s="129">
        <f t="shared" ref="J5:J7" si="1">G5*H5</f>
        <v>5497.5</v>
      </c>
      <c r="K5" s="129">
        <f>I5+J5</f>
        <v>11002.5</v>
      </c>
      <c r="L5" s="130">
        <f t="shared" ref="L5:L8" si="2">B5/I5</f>
        <v>1.3805631244323342E-2</v>
      </c>
      <c r="M5" s="130">
        <f t="shared" ref="M5:M8" si="3">E5/J5</f>
        <v>1.8190086402910415E-2</v>
      </c>
      <c r="N5" s="131">
        <v>63</v>
      </c>
      <c r="O5" s="665">
        <f>N5*(D5+G5)</f>
        <v>277263</v>
      </c>
      <c r="P5" s="663" t="str">
        <f t="shared" ref="P5:P8" si="4">CONCATENATE(B5," ",$P$4," ",D5)</f>
        <v>76 / 2202</v>
      </c>
      <c r="Q5" s="663" t="str">
        <f t="shared" ref="Q5:Q8" si="5">CONCATENATE(E5," ",$Q$4," ",G5)</f>
        <v>100 / 2199</v>
      </c>
    </row>
    <row r="6" spans="1:19">
      <c r="A6" s="28" t="s">
        <v>435</v>
      </c>
      <c r="B6" s="29">
        <v>69</v>
      </c>
      <c r="C6" s="30">
        <v>2150</v>
      </c>
      <c r="D6" s="31">
        <v>2152</v>
      </c>
      <c r="E6" s="29">
        <v>120</v>
      </c>
      <c r="F6" s="30">
        <v>2146</v>
      </c>
      <c r="G6" s="31">
        <v>2152</v>
      </c>
      <c r="H6" s="128">
        <v>2</v>
      </c>
      <c r="I6" s="129">
        <f t="shared" si="0"/>
        <v>4304</v>
      </c>
      <c r="J6" s="129">
        <f t="shared" si="1"/>
        <v>4304</v>
      </c>
      <c r="K6" s="129">
        <f t="shared" ref="K6:K7" si="6">I6+J6</f>
        <v>8608</v>
      </c>
      <c r="L6" s="130">
        <f t="shared" si="2"/>
        <v>1.6031598513011152E-2</v>
      </c>
      <c r="M6" s="130">
        <f t="shared" si="3"/>
        <v>2.7881040892193308E-2</v>
      </c>
      <c r="N6" s="131">
        <v>61.8</v>
      </c>
      <c r="O6" s="665">
        <f t="shared" ref="O6:O7" si="7">N6*(D6+G6)</f>
        <v>265987.20000000001</v>
      </c>
      <c r="P6" s="663" t="str">
        <f t="shared" si="4"/>
        <v>69 / 2152</v>
      </c>
      <c r="Q6" s="663" t="str">
        <f t="shared" si="5"/>
        <v>120 / 2152</v>
      </c>
    </row>
    <row r="7" spans="1:19">
      <c r="A7" s="28" t="s">
        <v>437</v>
      </c>
      <c r="B7" s="29">
        <v>108</v>
      </c>
      <c r="C7" s="30">
        <v>3300</v>
      </c>
      <c r="D7" s="31">
        <v>3304</v>
      </c>
      <c r="E7" s="29">
        <v>158</v>
      </c>
      <c r="F7" s="30">
        <v>3301</v>
      </c>
      <c r="G7" s="31">
        <v>3305</v>
      </c>
      <c r="H7" s="128">
        <v>2</v>
      </c>
      <c r="I7" s="129">
        <f t="shared" si="0"/>
        <v>6608</v>
      </c>
      <c r="J7" s="129">
        <f t="shared" si="1"/>
        <v>6610</v>
      </c>
      <c r="K7" s="129">
        <f t="shared" si="6"/>
        <v>13218</v>
      </c>
      <c r="L7" s="130">
        <f t="shared" si="2"/>
        <v>1.6343825665859565E-2</v>
      </c>
      <c r="M7" s="130">
        <f t="shared" si="3"/>
        <v>2.3903177004538579E-2</v>
      </c>
      <c r="N7" s="131">
        <v>64</v>
      </c>
      <c r="O7" s="665">
        <f t="shared" si="7"/>
        <v>422976</v>
      </c>
      <c r="P7" s="663" t="str">
        <f t="shared" si="4"/>
        <v>108 / 3304</v>
      </c>
      <c r="Q7" s="663" t="str">
        <f t="shared" si="5"/>
        <v>158 / 3305</v>
      </c>
    </row>
    <row r="8" spans="1:19">
      <c r="A8" s="505">
        <f>COUNT(D5:D7)</f>
        <v>3</v>
      </c>
      <c r="B8" s="132">
        <f>SUM(B5:B7)</f>
        <v>253</v>
      </c>
      <c r="C8" s="133">
        <v>23009</v>
      </c>
      <c r="D8" s="132">
        <f>SUM(D5:D7)</f>
        <v>7658</v>
      </c>
      <c r="E8" s="132">
        <f>SUM(E5:E7)</f>
        <v>378</v>
      </c>
      <c r="F8" s="133">
        <v>28669.98</v>
      </c>
      <c r="G8" s="132">
        <f>SUM(G5:G7)</f>
        <v>7656</v>
      </c>
      <c r="H8" s="134">
        <f>K8/(D8+G8)</f>
        <v>2.1436920464934048</v>
      </c>
      <c r="I8" s="135">
        <f>SUM(I5:I7)</f>
        <v>16417</v>
      </c>
      <c r="J8" s="135">
        <f>SUM(J5:J7)</f>
        <v>16411.5</v>
      </c>
      <c r="K8" s="135">
        <f>SUM(K5:K7)</f>
        <v>32828.5</v>
      </c>
      <c r="L8" s="136">
        <f t="shared" si="2"/>
        <v>1.5410854601937016E-2</v>
      </c>
      <c r="M8" s="136">
        <f t="shared" si="3"/>
        <v>2.3032629558541268E-2</v>
      </c>
      <c r="N8" s="137">
        <f>O8/(D8+G8)</f>
        <v>63.094305863915366</v>
      </c>
      <c r="O8" s="666">
        <f>SUM(O5:O7)</f>
        <v>966226.2</v>
      </c>
      <c r="P8" s="667" t="str">
        <f t="shared" si="4"/>
        <v>253 / 7658</v>
      </c>
      <c r="Q8" s="667" t="str">
        <f t="shared" si="5"/>
        <v>378 / 7656</v>
      </c>
    </row>
    <row r="9" spans="1:19" ht="15" thickBot="1">
      <c r="B9" s="1"/>
      <c r="C9" s="1"/>
      <c r="E9" s="138"/>
      <c r="F9" s="10"/>
      <c r="S9" s="114"/>
    </row>
    <row r="10" spans="1:19" ht="15" thickBot="1">
      <c r="B10" s="139" t="s">
        <v>88</v>
      </c>
      <c r="C10" s="140">
        <v>4.9374864794473818E-2</v>
      </c>
      <c r="D10" s="697" t="s">
        <v>89</v>
      </c>
      <c r="E10" s="698"/>
      <c r="F10" s="699"/>
      <c r="H10" s="96"/>
      <c r="S10" s="114"/>
    </row>
    <row r="11" spans="1:19" ht="26.5" thickBot="1">
      <c r="A11" s="141">
        <f>I36</f>
        <v>2.3032629558541268E-2</v>
      </c>
      <c r="B11" s="118" t="s">
        <v>90</v>
      </c>
      <c r="C11" s="14"/>
      <c r="D11" s="142" t="s">
        <v>91</v>
      </c>
      <c r="E11" s="143" t="s">
        <v>92</v>
      </c>
      <c r="F11" s="142" t="s">
        <v>93</v>
      </c>
      <c r="S11" s="114"/>
    </row>
    <row r="12" spans="1:19" ht="15" thickBot="1">
      <c r="A12" s="144">
        <f>E36</f>
        <v>2.1436920464934048</v>
      </c>
      <c r="B12" s="145" t="s">
        <v>94</v>
      </c>
      <c r="C12" s="14"/>
      <c r="D12" s="146">
        <v>0.66994314154860624</v>
      </c>
      <c r="E12" s="147">
        <v>0.57128047922156888</v>
      </c>
      <c r="F12" s="148">
        <v>0.78564758143835778</v>
      </c>
      <c r="G12" s="14"/>
      <c r="H12" s="14"/>
      <c r="I12" s="14"/>
      <c r="J12" s="14"/>
      <c r="K12" s="14"/>
      <c r="L12" s="14"/>
      <c r="M12" s="14"/>
      <c r="S12" s="114"/>
    </row>
    <row r="13" spans="1:19" ht="14.5" hidden="1">
      <c r="A13" s="149"/>
      <c r="B13" s="150"/>
      <c r="C13" s="1"/>
      <c r="S13" s="114"/>
    </row>
    <row r="14" spans="1:19" ht="14.5" hidden="1">
      <c r="A14" s="149"/>
      <c r="B14" s="150"/>
      <c r="C14" s="545" t="s">
        <v>371</v>
      </c>
      <c r="D14" s="546">
        <f>C10*D12</f>
        <v>3.3078352033947468E-2</v>
      </c>
      <c r="E14" s="546">
        <f>C10*E12</f>
        <v>2.8206896421287174E-2</v>
      </c>
      <c r="F14" s="546">
        <f>C10*F12</f>
        <v>3.8791243109624271E-2</v>
      </c>
      <c r="S14" s="114"/>
    </row>
    <row r="15" spans="1:19" ht="14.5" hidden="1">
      <c r="A15" s="149"/>
      <c r="B15" s="150"/>
      <c r="C15" s="544"/>
      <c r="S15" s="114"/>
    </row>
    <row r="16" spans="1:19" ht="14.5" hidden="1">
      <c r="A16" s="149"/>
      <c r="B16" s="150"/>
      <c r="C16" s="547" t="s">
        <v>95</v>
      </c>
      <c r="D16" s="548">
        <f>C10-D14</f>
        <v>1.6296512760526349E-2</v>
      </c>
      <c r="E16" s="549">
        <f>C10-F14</f>
        <v>1.0583621684849547E-2</v>
      </c>
      <c r="F16" s="549">
        <f>C10-E14</f>
        <v>2.1167968373186644E-2</v>
      </c>
      <c r="S16" s="114"/>
    </row>
    <row r="17" spans="1:19" ht="14.5" hidden="1">
      <c r="A17" s="149"/>
      <c r="B17" s="150"/>
      <c r="C17" s="547" t="s">
        <v>96</v>
      </c>
      <c r="D17" s="550">
        <f>1/D16</f>
        <v>61.362821279299368</v>
      </c>
      <c r="E17" s="550">
        <f>1/F16</f>
        <v>47.241189252091608</v>
      </c>
      <c r="F17" s="550">
        <f>1/E16</f>
        <v>94.485614639032306</v>
      </c>
      <c r="S17" s="114"/>
    </row>
    <row r="18" spans="1:19" ht="14.5" hidden="1">
      <c r="A18" s="149"/>
      <c r="B18" s="150"/>
      <c r="C18" s="14"/>
      <c r="D18" s="14"/>
      <c r="E18" s="14"/>
      <c r="F18" s="14"/>
      <c r="S18" s="114"/>
    </row>
    <row r="19" spans="1:19" ht="14.5" hidden="1">
      <c r="A19" s="149"/>
      <c r="B19" s="151" t="s">
        <v>97</v>
      </c>
      <c r="C19" s="152"/>
      <c r="D19" s="152"/>
      <c r="E19" s="153">
        <f>ROUND(D12,2)</f>
        <v>0.67</v>
      </c>
      <c r="F19" s="154">
        <f>ROUND(D16,4)</f>
        <v>1.6299999999999999E-2</v>
      </c>
      <c r="G19" s="155">
        <f>ROUND(D17,0)</f>
        <v>61</v>
      </c>
      <c r="S19" s="114"/>
    </row>
    <row r="20" spans="1:19" ht="14.5" hidden="1">
      <c r="A20" s="149"/>
      <c r="B20" s="156" t="s">
        <v>98</v>
      </c>
      <c r="C20" s="157">
        <f>ROUND(D14,4)</f>
        <v>3.3099999999999997E-2</v>
      </c>
      <c r="D20" s="158">
        <f>ROUND(C10,4)</f>
        <v>4.9399999999999999E-2</v>
      </c>
      <c r="E20" s="159">
        <f>ROUND(E12,2)</f>
        <v>0.56999999999999995</v>
      </c>
      <c r="F20" s="160">
        <f>ROUND(E16,4)</f>
        <v>1.06E-2</v>
      </c>
      <c r="G20" s="161">
        <f>ROUND(E17,0)</f>
        <v>47</v>
      </c>
      <c r="S20" s="114"/>
    </row>
    <row r="21" spans="1:19" ht="14.5" hidden="1">
      <c r="A21" s="149"/>
      <c r="B21" s="156" t="s">
        <v>99</v>
      </c>
      <c r="C21" s="162"/>
      <c r="D21" s="162"/>
      <c r="E21" s="159">
        <f>ROUND(F12,2)</f>
        <v>0.79</v>
      </c>
      <c r="F21" s="160">
        <f>ROUND(F16,4)</f>
        <v>2.12E-2</v>
      </c>
      <c r="G21" s="161">
        <f>ROUND(F17,0)</f>
        <v>94</v>
      </c>
      <c r="S21" s="114"/>
    </row>
    <row r="22" spans="1:19" ht="14.5" hidden="1">
      <c r="A22" s="149"/>
      <c r="B22" s="156" t="s">
        <v>100</v>
      </c>
      <c r="C22" s="163" t="s">
        <v>101</v>
      </c>
      <c r="D22" s="163" t="s">
        <v>102</v>
      </c>
      <c r="E22" s="164" t="s">
        <v>103</v>
      </c>
      <c r="F22" s="164" t="s">
        <v>104</v>
      </c>
      <c r="G22" s="163" t="s">
        <v>96</v>
      </c>
      <c r="S22" s="114"/>
    </row>
    <row r="23" spans="1:19" ht="14.5" hidden="1">
      <c r="A23" s="149"/>
      <c r="B23" s="165" t="s">
        <v>105</v>
      </c>
      <c r="C23" s="163" t="str">
        <f>CONCATENATE(C20*100,B22)</f>
        <v>3,31%</v>
      </c>
      <c r="D23" s="163" t="str">
        <f>CONCATENATE(D20*100,B22)</f>
        <v>4,94%</v>
      </c>
      <c r="E23" s="163" t="str">
        <f>CONCATENATE(E19," ",B19,E20,B20,E21,B21)</f>
        <v>0,67 (0,57-0,79)</v>
      </c>
      <c r="F23" s="163" t="str">
        <f>CONCATENATE(F19*100,B22," ",B19,F20*100,B22," ",B23," ",F21*100,B22,B21)</f>
        <v>1,63% (1,06% a 2,12%)</v>
      </c>
      <c r="G23" s="163" t="str">
        <f>CONCATENATE(G19," ",B19,G20," ",B23," ",G21,B21)</f>
        <v>61 (47 a 94)</v>
      </c>
      <c r="S23" s="114"/>
    </row>
    <row r="24" spans="1:19" ht="14.5" hidden="1">
      <c r="A24" s="166"/>
      <c r="B24" s="150"/>
      <c r="D24" s="111"/>
      <c r="E24" s="111"/>
      <c r="F24" s="111"/>
      <c r="G24" s="111"/>
      <c r="S24" s="114"/>
    </row>
    <row r="25" spans="1:19" ht="15" thickBot="1">
      <c r="A25" s="141">
        <f>A11*A12</f>
        <v>4.9374864794473818E-2</v>
      </c>
      <c r="B25" s="118" t="s">
        <v>106</v>
      </c>
      <c r="C25" s="1"/>
      <c r="S25" s="114"/>
    </row>
    <row r="26" spans="1:19" ht="15" thickBot="1">
      <c r="A26" s="167"/>
      <c r="B26" s="1"/>
      <c r="C26" s="168" t="s">
        <v>107</v>
      </c>
      <c r="D26" s="169" t="s">
        <v>102</v>
      </c>
      <c r="E26" s="169" t="s">
        <v>103</v>
      </c>
      <c r="F26" s="169" t="s">
        <v>95</v>
      </c>
      <c r="G26" s="170" t="s">
        <v>96</v>
      </c>
      <c r="S26" s="114"/>
    </row>
    <row r="27" spans="1:19" ht="26.5" thickBot="1">
      <c r="A27" s="171"/>
      <c r="B27" s="172"/>
      <c r="C27" s="173" t="str">
        <f>C23</f>
        <v>3,31%</v>
      </c>
      <c r="D27" s="174" t="str">
        <f>D23</f>
        <v>4,94%</v>
      </c>
      <c r="E27" s="174" t="str">
        <f>E23</f>
        <v>0,67 (0,57-0,79)</v>
      </c>
      <c r="F27" s="174" t="str">
        <f>F23</f>
        <v>1,63% (1,06% a 2,12%)</v>
      </c>
      <c r="G27" s="175" t="str">
        <f>G23</f>
        <v>61 (47 a 94)</v>
      </c>
      <c r="S27" s="114"/>
    </row>
    <row r="28" spans="1:19" ht="14.5">
      <c r="B28" s="1"/>
      <c r="C28" s="1"/>
      <c r="E28" s="138"/>
      <c r="F28" s="10"/>
      <c r="S28" s="114"/>
    </row>
    <row r="29" spans="1:19" ht="15" thickBot="1">
      <c r="D29" s="138"/>
      <c r="E29" s="138"/>
      <c r="S29" s="114"/>
    </row>
    <row r="30" spans="1:19" ht="22.5" customHeight="1" thickBot="1">
      <c r="A30" s="650" t="s">
        <v>410</v>
      </c>
      <c r="B30" s="176" t="str">
        <f>B2</f>
        <v>Primer evento de [Diálisis o Trasplante renal]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S30" s="114"/>
    </row>
    <row r="31" spans="1:19" ht="36" customHeight="1" thickBot="1">
      <c r="A31" s="690" t="s">
        <v>108</v>
      </c>
      <c r="B31" s="686" t="s">
        <v>109</v>
      </c>
      <c r="C31" s="692" t="s">
        <v>110</v>
      </c>
      <c r="D31" s="690" t="s">
        <v>283</v>
      </c>
      <c r="E31" s="686" t="s">
        <v>111</v>
      </c>
      <c r="F31" s="686" t="s">
        <v>112</v>
      </c>
      <c r="G31" s="686" t="s">
        <v>113</v>
      </c>
      <c r="H31" s="686" t="s">
        <v>114</v>
      </c>
      <c r="I31" s="686" t="s">
        <v>115</v>
      </c>
      <c r="J31" s="686" t="s">
        <v>116</v>
      </c>
      <c r="K31" s="688" t="s">
        <v>117</v>
      </c>
      <c r="L31" s="678" t="s">
        <v>118</v>
      </c>
      <c r="M31" s="679"/>
      <c r="N31" s="679"/>
      <c r="O31" s="680"/>
      <c r="S31" s="114"/>
    </row>
    <row r="32" spans="1:19" ht="43.5" customHeight="1" thickBot="1">
      <c r="A32" s="691"/>
      <c r="B32" s="687"/>
      <c r="C32" s="693"/>
      <c r="D32" s="691"/>
      <c r="E32" s="687"/>
      <c r="F32" s="687"/>
      <c r="G32" s="687"/>
      <c r="H32" s="687"/>
      <c r="I32" s="687"/>
      <c r="J32" s="687"/>
      <c r="K32" s="689"/>
      <c r="L32" s="179" t="s">
        <v>119</v>
      </c>
      <c r="M32" s="180" t="s">
        <v>95</v>
      </c>
      <c r="N32" s="181" t="s">
        <v>96</v>
      </c>
      <c r="O32" s="182" t="s">
        <v>120</v>
      </c>
      <c r="S32" s="114"/>
    </row>
    <row r="33" spans="1:19" ht="44" customHeight="1">
      <c r="A33" s="521">
        <v>9</v>
      </c>
      <c r="B33" s="183" t="str">
        <f>A5</f>
        <v>20190613-ECA CREDENCE 30m, ERC+100DM [Cana vs Pl], -ERT -MACE. Perkovic</v>
      </c>
      <c r="C33" s="184" t="s">
        <v>121</v>
      </c>
      <c r="D33" s="185"/>
      <c r="E33" s="186">
        <f>H5</f>
        <v>2.5</v>
      </c>
      <c r="F33" s="187" t="str">
        <f>P5</f>
        <v>76 / 2202</v>
      </c>
      <c r="G33" s="188">
        <f>L5</f>
        <v>1.3805631244323342E-2</v>
      </c>
      <c r="H33" s="187" t="str">
        <f>Q5</f>
        <v>100 / 2199</v>
      </c>
      <c r="I33" s="188">
        <f t="shared" ref="I33:J36" si="8">M5</f>
        <v>1.8190086402910415E-2</v>
      </c>
      <c r="J33" s="189">
        <f t="shared" si="8"/>
        <v>63</v>
      </c>
      <c r="K33" s="190">
        <v>0.28572993289678728</v>
      </c>
      <c r="L33" s="191" t="s">
        <v>284</v>
      </c>
      <c r="M33" s="192" t="s">
        <v>285</v>
      </c>
      <c r="N33" s="192" t="s">
        <v>286</v>
      </c>
      <c r="O33" s="195" t="s">
        <v>320</v>
      </c>
      <c r="Q33" s="26">
        <v>3</v>
      </c>
      <c r="R33" s="193">
        <f>Q33*K33</f>
        <v>0.85718979869036183</v>
      </c>
      <c r="S33" s="114"/>
    </row>
    <row r="34" spans="1:19" ht="44" customHeight="1">
      <c r="A34" s="506"/>
      <c r="B34" s="183" t="str">
        <f>A6</f>
        <v>20201008-ECA DAPA-CKD 24m, ERC+67DM [Dapa vs Pl] –ERC -Mort. Heerspink</v>
      </c>
      <c r="C34" s="184" t="s">
        <v>121</v>
      </c>
      <c r="D34" s="185"/>
      <c r="E34" s="186">
        <f>H6</f>
        <v>2</v>
      </c>
      <c r="F34" s="187" t="str">
        <f>P6</f>
        <v>69 / 2152</v>
      </c>
      <c r="G34" s="188">
        <f>L6</f>
        <v>1.6031598513011152E-2</v>
      </c>
      <c r="H34" s="187" t="str">
        <f>Q6</f>
        <v>120 / 2152</v>
      </c>
      <c r="I34" s="188">
        <f t="shared" si="8"/>
        <v>2.7881040892193308E-2</v>
      </c>
      <c r="J34" s="189">
        <f t="shared" si="8"/>
        <v>61.8</v>
      </c>
      <c r="K34" s="190">
        <v>0.28991535165869686</v>
      </c>
      <c r="L34" s="191" t="s">
        <v>287</v>
      </c>
      <c r="M34" s="192" t="s">
        <v>288</v>
      </c>
      <c r="N34" s="192" t="s">
        <v>289</v>
      </c>
      <c r="O34" s="195" t="s">
        <v>319</v>
      </c>
      <c r="Q34" s="26">
        <v>3.5</v>
      </c>
      <c r="R34" s="193">
        <f t="shared" ref="R34:R35" si="9">Q34*K34</f>
        <v>1.014703730805439</v>
      </c>
      <c r="S34" s="114"/>
    </row>
    <row r="35" spans="1:19" ht="44" customHeight="1" thickBot="1">
      <c r="A35" s="194"/>
      <c r="B35" s="183" t="str">
        <f>A7</f>
        <v>20221104-ECA EMP-KN 24m, ERC [Empa vs Pl], -SLP-ERC =Mort. Herrington</v>
      </c>
      <c r="C35" s="184" t="s">
        <v>121</v>
      </c>
      <c r="D35" s="185"/>
      <c r="E35" s="186">
        <f>H7</f>
        <v>2</v>
      </c>
      <c r="F35" s="187" t="str">
        <f>P7</f>
        <v>108 / 3304</v>
      </c>
      <c r="G35" s="188">
        <f>L7</f>
        <v>1.6343825665859565E-2</v>
      </c>
      <c r="H35" s="187" t="str">
        <f>Q7</f>
        <v>158 / 3305</v>
      </c>
      <c r="I35" s="188">
        <f t="shared" si="8"/>
        <v>2.3903177004538579E-2</v>
      </c>
      <c r="J35" s="189">
        <f t="shared" si="8"/>
        <v>64</v>
      </c>
      <c r="K35" s="190">
        <v>0.42435471544451597</v>
      </c>
      <c r="L35" s="191" t="s">
        <v>290</v>
      </c>
      <c r="M35" s="192" t="s">
        <v>291</v>
      </c>
      <c r="N35" s="192" t="s">
        <v>292</v>
      </c>
      <c r="O35" s="195" t="s">
        <v>319</v>
      </c>
      <c r="Q35" s="26">
        <v>3.5</v>
      </c>
      <c r="R35" s="193">
        <f t="shared" si="9"/>
        <v>1.4852415040558058</v>
      </c>
      <c r="S35" s="114"/>
    </row>
    <row r="36" spans="1:19" ht="21.5" thickBot="1">
      <c r="A36" s="196" t="s">
        <v>122</v>
      </c>
      <c r="B36" s="197">
        <f>COUNT(E33:E35)</f>
        <v>3</v>
      </c>
      <c r="C36" s="198"/>
      <c r="D36" s="516" t="s">
        <v>271</v>
      </c>
      <c r="E36" s="200">
        <f>H8</f>
        <v>2.1436920464934048</v>
      </c>
      <c r="F36" s="201" t="str">
        <f>P8</f>
        <v>253 / 7658</v>
      </c>
      <c r="G36" s="202">
        <f>L8</f>
        <v>1.5410854601937016E-2</v>
      </c>
      <c r="H36" s="201" t="str">
        <f>Q8</f>
        <v>378 / 7656</v>
      </c>
      <c r="I36" s="202">
        <f t="shared" si="8"/>
        <v>2.3032629558541268E-2</v>
      </c>
      <c r="J36" s="200">
        <f t="shared" si="8"/>
        <v>63.094305863915366</v>
      </c>
      <c r="K36" s="203">
        <v>1</v>
      </c>
      <c r="L36" s="507" t="s">
        <v>312</v>
      </c>
      <c r="M36" s="204"/>
      <c r="N36" s="205"/>
      <c r="O36" s="485" t="s">
        <v>319</v>
      </c>
      <c r="R36" s="206">
        <f>SUM(R33:R35)</f>
        <v>3.3571350335516064</v>
      </c>
      <c r="S36" s="114"/>
    </row>
    <row r="37" spans="1:19" ht="21.5" customHeight="1" thickBot="1">
      <c r="A37" s="207"/>
      <c r="B37" s="207"/>
      <c r="C37" s="208"/>
      <c r="D37" s="479" t="s">
        <v>227</v>
      </c>
      <c r="E37" s="210"/>
      <c r="F37" s="211"/>
      <c r="G37" s="212"/>
      <c r="H37" s="211"/>
      <c r="I37" s="213"/>
      <c r="J37" s="214"/>
      <c r="K37" s="480"/>
      <c r="L37" s="481"/>
      <c r="M37" s="482"/>
      <c r="N37" s="483" t="s">
        <v>228</v>
      </c>
      <c r="O37" s="484" t="s">
        <v>320</v>
      </c>
    </row>
    <row r="38" spans="1:19" ht="13.5" thickBot="1">
      <c r="A38" s="207"/>
      <c r="B38" s="207"/>
      <c r="C38" s="208"/>
      <c r="D38" s="209"/>
      <c r="E38" s="210"/>
      <c r="F38" s="211"/>
      <c r="G38" s="212"/>
      <c r="H38" s="211"/>
      <c r="I38" s="213"/>
      <c r="J38" s="214"/>
      <c r="K38" s="215"/>
      <c r="L38" s="204"/>
      <c r="M38" s="205"/>
      <c r="N38" s="205"/>
      <c r="O38" s="215"/>
    </row>
    <row r="39" spans="1:19" ht="47" thickBot="1">
      <c r="A39" s="216"/>
      <c r="B39" s="681" t="s">
        <v>123</v>
      </c>
      <c r="C39" s="682"/>
      <c r="D39" s="682"/>
      <c r="E39" s="682"/>
      <c r="F39" s="682"/>
      <c r="G39" s="682"/>
      <c r="H39" s="682"/>
      <c r="I39" s="683"/>
      <c r="J39" s="217" t="s">
        <v>124</v>
      </c>
      <c r="K39" s="218" t="s">
        <v>125</v>
      </c>
      <c r="L39" s="219" t="s">
        <v>119</v>
      </c>
      <c r="M39" s="220" t="s">
        <v>95</v>
      </c>
      <c r="N39" s="221" t="s">
        <v>96</v>
      </c>
      <c r="O39" s="205"/>
    </row>
    <row r="40" spans="1:19" ht="19.5" customHeight="1">
      <c r="A40" s="684" t="s">
        <v>126</v>
      </c>
      <c r="B40" s="222" t="s">
        <v>127</v>
      </c>
      <c r="C40" s="223">
        <f>I36</f>
        <v>2.3032629558541268E-2</v>
      </c>
      <c r="D40" s="224" t="s">
        <v>128</v>
      </c>
      <c r="E40" s="224"/>
      <c r="F40" s="224"/>
      <c r="G40" s="224"/>
      <c r="H40" s="225">
        <f>J36</f>
        <v>63.094305863915366</v>
      </c>
      <c r="I40" s="226" t="s">
        <v>129</v>
      </c>
      <c r="J40" s="227" t="s">
        <v>311</v>
      </c>
      <c r="K40" s="228" t="s">
        <v>293</v>
      </c>
      <c r="L40" s="508" t="s">
        <v>312</v>
      </c>
      <c r="M40" s="229" t="s">
        <v>313</v>
      </c>
      <c r="N40" s="509" t="s">
        <v>314</v>
      </c>
      <c r="O40" s="230" t="s">
        <v>130</v>
      </c>
    </row>
    <row r="41" spans="1:19" ht="19" thickBot="1">
      <c r="A41" s="685"/>
      <c r="B41" s="231" t="s">
        <v>127</v>
      </c>
      <c r="C41" s="232">
        <f>I36*E36</f>
        <v>4.9374864794473818E-2</v>
      </c>
      <c r="D41" s="233" t="s">
        <v>131</v>
      </c>
      <c r="E41" s="234"/>
      <c r="F41" s="235"/>
      <c r="G41" s="236">
        <f>E36</f>
        <v>2.1436920464934048</v>
      </c>
      <c r="H41" s="233" t="s">
        <v>132</v>
      </c>
      <c r="I41" s="237"/>
      <c r="J41" s="238" t="s">
        <v>315</v>
      </c>
      <c r="K41" s="239" t="s">
        <v>294</v>
      </c>
      <c r="L41" s="510" t="s">
        <v>312</v>
      </c>
      <c r="M41" s="240" t="s">
        <v>316</v>
      </c>
      <c r="N41" s="511" t="s">
        <v>317</v>
      </c>
      <c r="O41" s="241" t="s">
        <v>296</v>
      </c>
    </row>
    <row r="42" spans="1:19" ht="19" thickBot="1">
      <c r="A42" s="242"/>
      <c r="B42" s="243"/>
      <c r="C42" s="244"/>
      <c r="D42" s="245"/>
      <c r="E42" s="246"/>
      <c r="F42" s="247"/>
      <c r="G42" s="248"/>
      <c r="H42" s="245"/>
      <c r="I42" s="247"/>
      <c r="J42" s="249"/>
      <c r="K42" s="249"/>
      <c r="L42" s="250"/>
      <c r="M42" s="251"/>
      <c r="N42" s="251"/>
      <c r="O42" s="252"/>
    </row>
    <row r="43" spans="1:19" ht="19" thickBot="1">
      <c r="A43" s="253"/>
      <c r="B43" s="253"/>
      <c r="C43" s="215"/>
      <c r="D43" s="215"/>
      <c r="E43" s="215"/>
      <c r="F43" s="215"/>
      <c r="G43" s="215"/>
      <c r="H43" s="215"/>
      <c r="I43" s="254"/>
      <c r="J43" s="255"/>
      <c r="K43" s="256" t="s">
        <v>133</v>
      </c>
      <c r="L43" s="512" t="s">
        <v>295</v>
      </c>
      <c r="M43" s="257"/>
      <c r="N43" s="258"/>
      <c r="O43" s="259"/>
    </row>
    <row r="44" spans="1:19">
      <c r="A44" s="111"/>
      <c r="C44" s="1"/>
      <c r="I44" s="108" t="s">
        <v>134</v>
      </c>
      <c r="J44" s="260">
        <f>G41</f>
        <v>2.1436920464934048</v>
      </c>
      <c r="K44" s="260">
        <f>J44</f>
        <v>2.1436920464934048</v>
      </c>
    </row>
    <row r="45" spans="1:19">
      <c r="A45" s="111"/>
      <c r="C45" s="1"/>
      <c r="I45" s="14"/>
      <c r="J45" s="3" t="s">
        <v>84</v>
      </c>
      <c r="K45" s="3" t="s">
        <v>85</v>
      </c>
      <c r="L45" s="3" t="s">
        <v>135</v>
      </c>
    </row>
    <row r="46" spans="1:19" ht="17">
      <c r="I46" s="261" t="s">
        <v>258</v>
      </c>
      <c r="J46" s="513">
        <f>J40*100*J44</f>
        <v>3.3012857515998437</v>
      </c>
      <c r="K46" s="514">
        <f>K40*100*K44</f>
        <v>4.9304917069348306</v>
      </c>
      <c r="L46" s="515">
        <f>((J46*I8)+(K46*J8))/K8</f>
        <v>4.1157522528405384</v>
      </c>
      <c r="M46" s="262"/>
      <c r="N46" s="262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</sheetData>
  <mergeCells count="19">
    <mergeCell ref="L31:O31"/>
    <mergeCell ref="B39:I39"/>
    <mergeCell ref="A40:A41"/>
    <mergeCell ref="F31:F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  <mergeCell ref="B3:D3"/>
    <mergeCell ref="E3:G3"/>
    <mergeCell ref="I3:K3"/>
    <mergeCell ref="L3:M3"/>
    <mergeCell ref="D10:F10"/>
  </mergeCells>
  <pageMargins left="0.7" right="0.7" top="0.75" bottom="0.75" header="0.3" footer="0.3"/>
  <ignoredErrors>
    <ignoredError sqref="H8" formula="1"/>
    <ignoredError sqref="J40:K4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B0E2-F73A-46C0-AD20-D43FFC3EFE2B}">
  <dimension ref="A1:S63"/>
  <sheetViews>
    <sheetView zoomScale="70" zoomScaleNormal="70" workbookViewId="0"/>
  </sheetViews>
  <sheetFormatPr baseColWidth="10" defaultColWidth="16" defaultRowHeight="13"/>
  <cols>
    <col min="1" max="1" width="23.36328125" style="1" customWidth="1"/>
    <col min="2" max="2" width="23.54296875" style="111" customWidth="1"/>
    <col min="3" max="3" width="15" style="111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4"/>
    </row>
    <row r="2" spans="1:19" ht="20.25" customHeight="1">
      <c r="A2" s="115" t="s">
        <v>76</v>
      </c>
      <c r="B2" s="116" t="str">
        <f>A4</f>
        <v>Hospitalización por Insuficiencia cardíaca</v>
      </c>
      <c r="C2" s="117"/>
      <c r="O2" s="118"/>
      <c r="P2" s="119"/>
    </row>
    <row r="3" spans="1:19" ht="26">
      <c r="A3" s="12" t="s">
        <v>6</v>
      </c>
      <c r="B3" s="694" t="s">
        <v>77</v>
      </c>
      <c r="C3" s="695"/>
      <c r="D3" s="696"/>
      <c r="E3" s="694" t="s">
        <v>78</v>
      </c>
      <c r="F3" s="695"/>
      <c r="G3" s="696"/>
      <c r="H3" s="120" t="s">
        <v>79</v>
      </c>
      <c r="I3" s="694" t="s">
        <v>80</v>
      </c>
      <c r="J3" s="695"/>
      <c r="K3" s="696"/>
      <c r="L3" s="694" t="s">
        <v>81</v>
      </c>
      <c r="M3" s="696"/>
      <c r="N3" s="121" t="s">
        <v>82</v>
      </c>
      <c r="O3" s="119"/>
    </row>
    <row r="4" spans="1:19" ht="26">
      <c r="A4" s="503" t="s">
        <v>235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22" t="s">
        <v>83</v>
      </c>
      <c r="I4" s="123" t="s">
        <v>84</v>
      </c>
      <c r="J4" s="124" t="s">
        <v>85</v>
      </c>
      <c r="K4" s="123" t="s">
        <v>11</v>
      </c>
      <c r="L4" s="125" t="s">
        <v>84</v>
      </c>
      <c r="M4" s="126" t="s">
        <v>86</v>
      </c>
      <c r="N4" s="127" t="s">
        <v>83</v>
      </c>
      <c r="O4" s="663"/>
      <c r="P4" s="664" t="s">
        <v>87</v>
      </c>
      <c r="Q4" s="664" t="s">
        <v>87</v>
      </c>
    </row>
    <row r="5" spans="1:19">
      <c r="A5" s="28" t="s">
        <v>434</v>
      </c>
      <c r="B5" s="29">
        <v>89</v>
      </c>
      <c r="C5" s="30">
        <f>D5-B5</f>
        <v>2113</v>
      </c>
      <c r="D5" s="31">
        <v>2202</v>
      </c>
      <c r="E5" s="29">
        <v>141</v>
      </c>
      <c r="F5" s="30">
        <f>G5-E5</f>
        <v>2058</v>
      </c>
      <c r="G5" s="31">
        <v>2199</v>
      </c>
      <c r="H5" s="128">
        <f>30/12</f>
        <v>2.5</v>
      </c>
      <c r="I5" s="129">
        <f t="shared" ref="I5:I6" si="0">D5*H5</f>
        <v>5505</v>
      </c>
      <c r="J5" s="129">
        <f t="shared" ref="J5:J6" si="1">G5*H5</f>
        <v>5497.5</v>
      </c>
      <c r="K5" s="129">
        <f>I5+J5</f>
        <v>11002.5</v>
      </c>
      <c r="L5" s="130">
        <f t="shared" ref="L5:L7" si="2">B5/I5</f>
        <v>1.6167120799273387E-2</v>
      </c>
      <c r="M5" s="130">
        <f t="shared" ref="M5:M7" si="3">E5/J5</f>
        <v>2.5648021828103683E-2</v>
      </c>
      <c r="N5" s="131">
        <v>63</v>
      </c>
      <c r="O5" s="665">
        <f>N5*(D5+G5)</f>
        <v>277263</v>
      </c>
      <c r="P5" s="663" t="str">
        <f t="shared" ref="P5:P7" si="4">CONCATENATE(B5," ",$P$4," ",D5)</f>
        <v>89 / 2202</v>
      </c>
      <c r="Q5" s="663" t="str">
        <f t="shared" ref="Q5:Q7" si="5">CONCATENATE(E5," ",$Q$4," ",G5)</f>
        <v>141 / 2199</v>
      </c>
    </row>
    <row r="6" spans="1:19">
      <c r="A6" s="28" t="s">
        <v>436</v>
      </c>
      <c r="B6" s="29">
        <v>245</v>
      </c>
      <c r="C6" s="30">
        <f>D6-B6</f>
        <v>5047</v>
      </c>
      <c r="D6" s="31">
        <v>5292</v>
      </c>
      <c r="E6" s="29">
        <v>360</v>
      </c>
      <c r="F6" s="30">
        <f>G6-E6</f>
        <v>4932</v>
      </c>
      <c r="G6" s="31">
        <v>5292</v>
      </c>
      <c r="H6" s="128">
        <f>16/12</f>
        <v>1.3333333333333333</v>
      </c>
      <c r="I6" s="129">
        <f t="shared" si="0"/>
        <v>7056</v>
      </c>
      <c r="J6" s="129">
        <f t="shared" si="1"/>
        <v>7056</v>
      </c>
      <c r="K6" s="129">
        <f t="shared" ref="K6" si="6">I6+J6</f>
        <v>14112</v>
      </c>
      <c r="L6" s="130">
        <f t="shared" si="2"/>
        <v>3.4722222222222224E-2</v>
      </c>
      <c r="M6" s="130">
        <f t="shared" si="3"/>
        <v>5.1020408163265307E-2</v>
      </c>
      <c r="N6" s="131">
        <v>69</v>
      </c>
      <c r="O6" s="665">
        <f t="shared" ref="O6" si="7">N6*(D6+G6)</f>
        <v>730296</v>
      </c>
      <c r="P6" s="663" t="str">
        <f t="shared" si="4"/>
        <v>245 / 5292</v>
      </c>
      <c r="Q6" s="663" t="str">
        <f t="shared" si="5"/>
        <v>360 / 5292</v>
      </c>
    </row>
    <row r="7" spans="1:19">
      <c r="A7" s="524">
        <f>COUNT(D5:D6)</f>
        <v>2</v>
      </c>
      <c r="B7" s="132">
        <f>SUM(B5:B6)</f>
        <v>334</v>
      </c>
      <c r="C7" s="133">
        <v>23009</v>
      </c>
      <c r="D7" s="132">
        <f>SUM(D5:D6)</f>
        <v>7494</v>
      </c>
      <c r="E7" s="132">
        <f>SUM(E5:E6)</f>
        <v>501</v>
      </c>
      <c r="F7" s="133">
        <v>28669.98</v>
      </c>
      <c r="G7" s="132">
        <f>SUM(G5:G6)</f>
        <v>7491</v>
      </c>
      <c r="H7" s="522">
        <f>K7/(D7+G7)</f>
        <v>1.675975975975976</v>
      </c>
      <c r="I7" s="135">
        <f>SUM(I5:I6)</f>
        <v>12561</v>
      </c>
      <c r="J7" s="135">
        <f>SUM(J5:J6)</f>
        <v>12553.5</v>
      </c>
      <c r="K7" s="135">
        <f>SUM(K5:K6)</f>
        <v>25114.5</v>
      </c>
      <c r="L7" s="136">
        <f t="shared" si="2"/>
        <v>2.6590239630602659E-2</v>
      </c>
      <c r="M7" s="136">
        <f t="shared" si="3"/>
        <v>3.9909188672481777E-2</v>
      </c>
      <c r="N7" s="137">
        <f>O7/(D7+G7)</f>
        <v>67.237837837837844</v>
      </c>
      <c r="O7" s="666">
        <f>SUM(O5:O6)</f>
        <v>1007559</v>
      </c>
      <c r="P7" s="667" t="str">
        <f t="shared" si="4"/>
        <v>334 / 7494</v>
      </c>
      <c r="Q7" s="667" t="str">
        <f t="shared" si="5"/>
        <v>501 / 7491</v>
      </c>
    </row>
    <row r="8" spans="1:19" ht="15" thickBot="1">
      <c r="B8" s="1"/>
      <c r="C8" s="1"/>
      <c r="E8" s="138"/>
      <c r="F8" s="10"/>
      <c r="S8" s="114"/>
    </row>
    <row r="9" spans="1:19" ht="15" thickBot="1">
      <c r="B9" s="139" t="s">
        <v>88</v>
      </c>
      <c r="C9" s="140">
        <v>6.6886841435772018E-2</v>
      </c>
      <c r="D9" s="697" t="s">
        <v>89</v>
      </c>
      <c r="E9" s="698"/>
      <c r="F9" s="699"/>
      <c r="H9" s="96"/>
      <c r="S9" s="114"/>
    </row>
    <row r="10" spans="1:19" ht="26.5" thickBot="1">
      <c r="A10" s="141">
        <f>I34</f>
        <v>3.9909188672481777E-2</v>
      </c>
      <c r="B10" s="118" t="s">
        <v>90</v>
      </c>
      <c r="C10" s="14"/>
      <c r="D10" s="142" t="s">
        <v>91</v>
      </c>
      <c r="E10" s="143" t="s">
        <v>92</v>
      </c>
      <c r="F10" s="142" t="s">
        <v>93</v>
      </c>
      <c r="S10" s="114"/>
    </row>
    <row r="11" spans="1:19" ht="15" thickBot="1">
      <c r="A11" s="144">
        <f>E34</f>
        <v>1.675975975975976</v>
      </c>
      <c r="B11" s="145" t="s">
        <v>94</v>
      </c>
      <c r="C11" s="14"/>
      <c r="D11" s="146">
        <v>0.65590472107248099</v>
      </c>
      <c r="E11" s="147">
        <v>0.38575220207249739</v>
      </c>
      <c r="F11" s="148">
        <v>1.1152631071636743</v>
      </c>
      <c r="G11" s="14"/>
      <c r="H11" s="14"/>
      <c r="I11" s="14"/>
      <c r="J11" s="14"/>
      <c r="K11" s="14"/>
      <c r="L11" s="14"/>
      <c r="M11" s="14"/>
      <c r="N11" s="14"/>
      <c r="O11" s="14"/>
      <c r="S11" s="114"/>
    </row>
    <row r="12" spans="1:19" ht="14.5" hidden="1">
      <c r="A12" s="149"/>
      <c r="B12" s="150"/>
      <c r="C12" s="1"/>
      <c r="S12" s="114"/>
    </row>
    <row r="13" spans="1:19" ht="14.5" hidden="1">
      <c r="A13" s="149"/>
      <c r="B13" s="150"/>
      <c r="C13" s="545" t="s">
        <v>371</v>
      </c>
      <c r="D13" s="546">
        <f>C9*D11</f>
        <v>4.3871395075349311E-2</v>
      </c>
      <c r="E13" s="546">
        <f>C9*E11</f>
        <v>2.5801746373523018E-2</v>
      </c>
      <c r="F13" s="546">
        <f>C9*F11</f>
        <v>7.4596426608023098E-2</v>
      </c>
      <c r="S13" s="114"/>
    </row>
    <row r="14" spans="1:19" ht="14.5" hidden="1">
      <c r="A14" s="149"/>
      <c r="B14" s="150"/>
      <c r="C14" s="544"/>
      <c r="S14" s="114"/>
    </row>
    <row r="15" spans="1:19" ht="14.5" hidden="1">
      <c r="A15" s="149"/>
      <c r="B15" s="150"/>
      <c r="C15" s="547" t="s">
        <v>95</v>
      </c>
      <c r="D15" s="548">
        <f>C9-D13</f>
        <v>2.3015446360422707E-2</v>
      </c>
      <c r="E15" s="549">
        <f>C9-F13</f>
        <v>-7.7095851722510794E-3</v>
      </c>
      <c r="F15" s="549">
        <f>C9-E13</f>
        <v>4.1085095062249E-2</v>
      </c>
      <c r="S15" s="114"/>
    </row>
    <row r="16" spans="1:19" ht="14.5" hidden="1">
      <c r="A16" s="149"/>
      <c r="B16" s="150"/>
      <c r="C16" s="547" t="s">
        <v>96</v>
      </c>
      <c r="D16" s="550">
        <f>1/D15</f>
        <v>43.449081296967456</v>
      </c>
      <c r="E16" s="550">
        <f>1/F15</f>
        <v>24.339727058800189</v>
      </c>
      <c r="F16" s="550">
        <f>1/E15</f>
        <v>-129.70866494857279</v>
      </c>
      <c r="S16" s="114"/>
    </row>
    <row r="17" spans="1:19" ht="14.5" hidden="1">
      <c r="A17" s="149"/>
      <c r="B17" s="150"/>
      <c r="C17" s="14"/>
      <c r="D17" s="14"/>
      <c r="E17" s="14"/>
      <c r="F17" s="14"/>
      <c r="S17" s="114"/>
    </row>
    <row r="18" spans="1:19" ht="14.5" hidden="1">
      <c r="A18" s="149"/>
      <c r="B18" s="151" t="s">
        <v>97</v>
      </c>
      <c r="C18" s="152"/>
      <c r="D18" s="152"/>
      <c r="E18" s="153">
        <f>ROUND(D11,2)</f>
        <v>0.66</v>
      </c>
      <c r="F18" s="154">
        <f>ROUND(D15,4)</f>
        <v>2.3E-2</v>
      </c>
      <c r="G18" s="155">
        <f>ROUND(D16,0)</f>
        <v>43</v>
      </c>
      <c r="S18" s="114"/>
    </row>
    <row r="19" spans="1:19" ht="14.5" hidden="1">
      <c r="A19" s="149"/>
      <c r="B19" s="156" t="s">
        <v>98</v>
      </c>
      <c r="C19" s="157">
        <f>ROUND(D13,4)</f>
        <v>4.3900000000000002E-2</v>
      </c>
      <c r="D19" s="158">
        <f>ROUND(C9,4)</f>
        <v>6.6900000000000001E-2</v>
      </c>
      <c r="E19" s="159">
        <f>ROUND(E11,2)</f>
        <v>0.39</v>
      </c>
      <c r="F19" s="160">
        <f>ROUND(E15,4)</f>
        <v>-7.7000000000000002E-3</v>
      </c>
      <c r="G19" s="161">
        <f>ROUND(E16,0)</f>
        <v>24</v>
      </c>
      <c r="S19" s="114"/>
    </row>
    <row r="20" spans="1:19" ht="14.5" hidden="1">
      <c r="A20" s="149"/>
      <c r="B20" s="156" t="s">
        <v>99</v>
      </c>
      <c r="C20" s="162"/>
      <c r="D20" s="162"/>
      <c r="E20" s="159">
        <f>ROUND(F11,2)</f>
        <v>1.1200000000000001</v>
      </c>
      <c r="F20" s="160">
        <f>ROUND(F15,4)</f>
        <v>4.1099999999999998E-2</v>
      </c>
      <c r="G20" s="161">
        <f>ROUND(F16,0)</f>
        <v>-130</v>
      </c>
      <c r="S20" s="114"/>
    </row>
    <row r="21" spans="1:19" ht="14.5" hidden="1">
      <c r="A21" s="149"/>
      <c r="B21" s="156" t="s">
        <v>100</v>
      </c>
      <c r="C21" s="163" t="s">
        <v>101</v>
      </c>
      <c r="D21" s="163" t="s">
        <v>102</v>
      </c>
      <c r="E21" s="164" t="s">
        <v>103</v>
      </c>
      <c r="F21" s="164" t="s">
        <v>104</v>
      </c>
      <c r="G21" s="163" t="s">
        <v>96</v>
      </c>
      <c r="S21" s="114"/>
    </row>
    <row r="22" spans="1:19" ht="14.5" hidden="1">
      <c r="A22" s="149"/>
      <c r="B22" s="165" t="s">
        <v>105</v>
      </c>
      <c r="C22" s="163" t="str">
        <f>CONCATENATE(C19*100,B21)</f>
        <v>4,39%</v>
      </c>
      <c r="D22" s="163" t="str">
        <f>CONCATENATE(D19*100,B21)</f>
        <v>6,69%</v>
      </c>
      <c r="E22" s="163" t="str">
        <f>CONCATENATE(E18," ",B18,E19,B19,E20,B20)</f>
        <v>0,66 (0,39-1,12)</v>
      </c>
      <c r="F22" s="163" t="str">
        <f>CONCATENATE(F18*100,B21," ",B18,F19*100,B21," ",B22," ",F20*100,B21,B20)</f>
        <v>2,3% (-0,77% a 4,11%)</v>
      </c>
      <c r="G22" s="163" t="str">
        <f>CONCATENATE(G18," ",B18,G19," ",B22," ",G20,B20)</f>
        <v>43 (24 a -130)</v>
      </c>
      <c r="S22" s="114"/>
    </row>
    <row r="23" spans="1:19" ht="14.5" hidden="1">
      <c r="A23" s="166"/>
      <c r="B23" s="150"/>
      <c r="D23" s="111"/>
      <c r="E23" s="111"/>
      <c r="F23" s="111"/>
      <c r="G23" s="111"/>
      <c r="S23" s="114"/>
    </row>
    <row r="24" spans="1:19" ht="15" thickBot="1">
      <c r="A24" s="141">
        <f>A10*A11</f>
        <v>6.6886841435772018E-2</v>
      </c>
      <c r="B24" s="118" t="s">
        <v>106</v>
      </c>
      <c r="C24" s="1"/>
      <c r="S24" s="114"/>
    </row>
    <row r="25" spans="1:19" ht="15" thickBot="1">
      <c r="A25" s="167"/>
      <c r="B25" s="1"/>
      <c r="C25" s="168" t="s">
        <v>107</v>
      </c>
      <c r="D25" s="169" t="s">
        <v>102</v>
      </c>
      <c r="E25" s="169" t="s">
        <v>103</v>
      </c>
      <c r="F25" s="169" t="s">
        <v>95</v>
      </c>
      <c r="G25" s="170" t="s">
        <v>96</v>
      </c>
      <c r="S25" s="114"/>
    </row>
    <row r="26" spans="1:19" ht="26.5" thickBot="1">
      <c r="A26" s="171"/>
      <c r="B26" s="172"/>
      <c r="C26" s="173" t="str">
        <f>C22</f>
        <v>4,39%</v>
      </c>
      <c r="D26" s="174" t="str">
        <f>D22</f>
        <v>6,69%</v>
      </c>
      <c r="E26" s="174" t="str">
        <f>E22</f>
        <v>0,66 (0,39-1,12)</v>
      </c>
      <c r="F26" s="174" t="str">
        <f>F22</f>
        <v>2,3% (-0,77% a 4,11%)</v>
      </c>
      <c r="G26" s="175" t="str">
        <f>G22</f>
        <v>43 (24 a -130)</v>
      </c>
      <c r="S26" s="114"/>
    </row>
    <row r="27" spans="1:19" ht="14.5">
      <c r="B27" s="1"/>
      <c r="C27" s="1"/>
      <c r="E27" s="138"/>
      <c r="F27" s="10"/>
      <c r="S27" s="114"/>
    </row>
    <row r="28" spans="1:19" ht="15" thickBot="1">
      <c r="D28" s="138"/>
      <c r="E28" s="138"/>
      <c r="S28" s="114"/>
    </row>
    <row r="29" spans="1:19" ht="22.5" customHeight="1" thickBot="1">
      <c r="A29" s="650" t="s">
        <v>411</v>
      </c>
      <c r="B29" s="176" t="str">
        <f>B2</f>
        <v>Hospitalización por Insuficiencia cardíaca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S29" s="114"/>
    </row>
    <row r="30" spans="1:19" ht="36" customHeight="1" thickBot="1">
      <c r="A30" s="690" t="s">
        <v>108</v>
      </c>
      <c r="B30" s="686" t="s">
        <v>109</v>
      </c>
      <c r="C30" s="692" t="s">
        <v>110</v>
      </c>
      <c r="D30" s="690" t="s">
        <v>283</v>
      </c>
      <c r="E30" s="686" t="s">
        <v>111</v>
      </c>
      <c r="F30" s="686" t="s">
        <v>112</v>
      </c>
      <c r="G30" s="686" t="s">
        <v>113</v>
      </c>
      <c r="H30" s="686" t="s">
        <v>114</v>
      </c>
      <c r="I30" s="686" t="s">
        <v>115</v>
      </c>
      <c r="J30" s="686" t="s">
        <v>116</v>
      </c>
      <c r="K30" s="688" t="s">
        <v>117</v>
      </c>
      <c r="L30" s="678" t="s">
        <v>118</v>
      </c>
      <c r="M30" s="679"/>
      <c r="N30" s="679"/>
      <c r="O30" s="680"/>
      <c r="S30" s="114"/>
    </row>
    <row r="31" spans="1:19" ht="43.5" customHeight="1" thickBot="1">
      <c r="A31" s="691"/>
      <c r="B31" s="687"/>
      <c r="C31" s="693"/>
      <c r="D31" s="691"/>
      <c r="E31" s="687"/>
      <c r="F31" s="687"/>
      <c r="G31" s="687"/>
      <c r="H31" s="687"/>
      <c r="I31" s="687"/>
      <c r="J31" s="687"/>
      <c r="K31" s="689"/>
      <c r="L31" s="179" t="s">
        <v>119</v>
      </c>
      <c r="M31" s="180" t="s">
        <v>95</v>
      </c>
      <c r="N31" s="181" t="s">
        <v>96</v>
      </c>
      <c r="O31" s="182" t="s">
        <v>120</v>
      </c>
      <c r="S31" s="114"/>
    </row>
    <row r="32" spans="1:19" ht="44" customHeight="1">
      <c r="A32" s="521">
        <v>8</v>
      </c>
      <c r="B32" s="183" t="str">
        <f>A5</f>
        <v>20190613-ECA CREDENCE 30m, ERC+100DM [Cana vs Pl], -ERT -MACE. Perkovic</v>
      </c>
      <c r="C32" s="184" t="s">
        <v>121</v>
      </c>
      <c r="D32" s="185"/>
      <c r="E32" s="186">
        <f>H5</f>
        <v>2.5</v>
      </c>
      <c r="F32" s="187" t="str">
        <f>P5</f>
        <v>89 / 2202</v>
      </c>
      <c r="G32" s="188">
        <f>L5</f>
        <v>1.6167120799273387E-2</v>
      </c>
      <c r="H32" s="187" t="str">
        <f>Q5</f>
        <v>141 / 2199</v>
      </c>
      <c r="I32" s="188">
        <f t="shared" ref="I32:J34" si="8">M5</f>
        <v>2.5648021828103683E-2</v>
      </c>
      <c r="J32" s="189">
        <f t="shared" si="8"/>
        <v>63</v>
      </c>
      <c r="K32" s="190">
        <v>0.48138606238578113</v>
      </c>
      <c r="L32" s="191" t="s">
        <v>351</v>
      </c>
      <c r="M32" s="192" t="s">
        <v>352</v>
      </c>
      <c r="N32" s="192" t="s">
        <v>353</v>
      </c>
      <c r="O32" s="195" t="s">
        <v>320</v>
      </c>
      <c r="Q32" s="26">
        <v>3</v>
      </c>
      <c r="R32" s="193">
        <f>Q32*K32</f>
        <v>1.4441581871573435</v>
      </c>
      <c r="S32" s="114"/>
    </row>
    <row r="33" spans="1:19" ht="44" customHeight="1" thickBot="1">
      <c r="A33" s="194"/>
      <c r="B33" s="183" t="str">
        <f>A6</f>
        <v>20210114-ECA SCORED 16m, ERC+100DM [Sota vs Pl], -InsCar =Mort yCV. Bhatt</v>
      </c>
      <c r="C33" s="184" t="s">
        <v>121</v>
      </c>
      <c r="D33" s="185"/>
      <c r="E33" s="186">
        <f>H6</f>
        <v>1.3333333333333333</v>
      </c>
      <c r="F33" s="187" t="str">
        <f>P6</f>
        <v>245 / 5292</v>
      </c>
      <c r="G33" s="188">
        <f>L6</f>
        <v>3.4722222222222224E-2</v>
      </c>
      <c r="H33" s="187" t="str">
        <f>Q6</f>
        <v>360 / 5292</v>
      </c>
      <c r="I33" s="188">
        <f t="shared" si="8"/>
        <v>5.1020408163265307E-2</v>
      </c>
      <c r="J33" s="189">
        <f t="shared" si="8"/>
        <v>69</v>
      </c>
      <c r="K33" s="190">
        <v>0.51861393761421881</v>
      </c>
      <c r="L33" s="191" t="s">
        <v>354</v>
      </c>
      <c r="M33" s="192" t="s">
        <v>355</v>
      </c>
      <c r="N33" s="192" t="s">
        <v>356</v>
      </c>
      <c r="O33" s="195" t="s">
        <v>320</v>
      </c>
      <c r="Q33" s="26">
        <v>3</v>
      </c>
      <c r="R33" s="193">
        <f t="shared" ref="R33" si="9">Q33*K33</f>
        <v>1.5558418128426563</v>
      </c>
      <c r="S33" s="114"/>
    </row>
    <row r="34" spans="1:19" ht="21.5" thickBot="1">
      <c r="A34" s="196" t="s">
        <v>122</v>
      </c>
      <c r="B34" s="197">
        <f>COUNT(E32:E33)</f>
        <v>2</v>
      </c>
      <c r="C34" s="198"/>
      <c r="D34" s="516" t="s">
        <v>347</v>
      </c>
      <c r="E34" s="200">
        <f>H7</f>
        <v>1.675975975975976</v>
      </c>
      <c r="F34" s="201" t="str">
        <f>P7</f>
        <v>334 / 7494</v>
      </c>
      <c r="G34" s="202">
        <f>L7</f>
        <v>2.6590239630602659E-2</v>
      </c>
      <c r="H34" s="201" t="str">
        <f>Q7</f>
        <v>501 / 7491</v>
      </c>
      <c r="I34" s="202">
        <f t="shared" si="8"/>
        <v>3.9909188672481777E-2</v>
      </c>
      <c r="J34" s="200">
        <f t="shared" si="8"/>
        <v>67.237837837837844</v>
      </c>
      <c r="K34" s="203">
        <v>1</v>
      </c>
      <c r="L34" s="529" t="s">
        <v>358</v>
      </c>
      <c r="M34" s="204"/>
      <c r="N34" s="205"/>
      <c r="O34" s="525" t="s">
        <v>320</v>
      </c>
      <c r="R34" s="206">
        <f>SUM(R32:R33)</f>
        <v>3</v>
      </c>
      <c r="S34" s="114"/>
    </row>
    <row r="35" spans="1:19" ht="21.5" customHeight="1" thickBot="1">
      <c r="A35" s="207"/>
      <c r="B35" s="207"/>
      <c r="C35" s="208"/>
      <c r="D35" s="479" t="s">
        <v>227</v>
      </c>
      <c r="E35" s="210"/>
      <c r="F35" s="211"/>
      <c r="G35" s="212"/>
      <c r="H35" s="211"/>
      <c r="I35" s="213"/>
      <c r="J35" s="214"/>
      <c r="K35" s="480"/>
      <c r="L35" s="481"/>
      <c r="M35" s="482"/>
      <c r="N35" s="483" t="s">
        <v>228</v>
      </c>
      <c r="O35" s="537" t="s">
        <v>329</v>
      </c>
    </row>
    <row r="36" spans="1:19" ht="13.5" thickBot="1">
      <c r="A36" s="207"/>
      <c r="B36" s="207"/>
      <c r="C36" s="208"/>
      <c r="D36" s="209"/>
      <c r="E36" s="210"/>
      <c r="F36" s="211"/>
      <c r="G36" s="212"/>
      <c r="H36" s="211"/>
      <c r="I36" s="213"/>
      <c r="J36" s="214"/>
      <c r="K36" s="215"/>
      <c r="L36" s="204"/>
      <c r="M36" s="205"/>
      <c r="N36" s="205"/>
      <c r="O36" s="215"/>
    </row>
    <row r="37" spans="1:19" ht="47" thickBot="1">
      <c r="A37" s="216"/>
      <c r="B37" s="681" t="s">
        <v>123</v>
      </c>
      <c r="C37" s="682"/>
      <c r="D37" s="682"/>
      <c r="E37" s="682"/>
      <c r="F37" s="682"/>
      <c r="G37" s="682"/>
      <c r="H37" s="682"/>
      <c r="I37" s="683"/>
      <c r="J37" s="217" t="s">
        <v>124</v>
      </c>
      <c r="K37" s="218" t="s">
        <v>125</v>
      </c>
      <c r="L37" s="219" t="s">
        <v>119</v>
      </c>
      <c r="M37" s="220" t="s">
        <v>95</v>
      </c>
      <c r="N37" s="221" t="s">
        <v>96</v>
      </c>
      <c r="O37" s="205"/>
    </row>
    <row r="38" spans="1:19" ht="19.5" customHeight="1" thickBot="1">
      <c r="A38" s="684" t="s">
        <v>126</v>
      </c>
      <c r="B38" s="222" t="s">
        <v>127</v>
      </c>
      <c r="C38" s="223">
        <f>I34</f>
        <v>3.9909188672481777E-2</v>
      </c>
      <c r="D38" s="224" t="s">
        <v>128</v>
      </c>
      <c r="E38" s="224"/>
      <c r="F38" s="224"/>
      <c r="G38" s="224"/>
      <c r="H38" s="225">
        <f>J34</f>
        <v>67.237837837837844</v>
      </c>
      <c r="I38" s="226" t="s">
        <v>129</v>
      </c>
      <c r="J38" s="227" t="s">
        <v>357</v>
      </c>
      <c r="K38" s="228" t="s">
        <v>348</v>
      </c>
      <c r="L38" s="529" t="s">
        <v>358</v>
      </c>
      <c r="M38" s="229" t="s">
        <v>359</v>
      </c>
      <c r="N38" s="541" t="s">
        <v>360</v>
      </c>
      <c r="O38" s="230" t="s">
        <v>130</v>
      </c>
    </row>
    <row r="39" spans="1:19" ht="19" thickBot="1">
      <c r="A39" s="685"/>
      <c r="B39" s="231" t="s">
        <v>127</v>
      </c>
      <c r="C39" s="232">
        <f>I34*E34</f>
        <v>6.6886841435772018E-2</v>
      </c>
      <c r="D39" s="233" t="s">
        <v>131</v>
      </c>
      <c r="E39" s="234"/>
      <c r="F39" s="235"/>
      <c r="G39" s="236">
        <f>E34</f>
        <v>1.675975975975976</v>
      </c>
      <c r="H39" s="233" t="s">
        <v>132</v>
      </c>
      <c r="I39" s="237"/>
      <c r="J39" s="238" t="s">
        <v>361</v>
      </c>
      <c r="K39" s="239" t="s">
        <v>349</v>
      </c>
      <c r="L39" s="529" t="s">
        <v>358</v>
      </c>
      <c r="M39" s="240" t="s">
        <v>362</v>
      </c>
      <c r="N39" s="542" t="s">
        <v>363</v>
      </c>
      <c r="O39" s="241" t="s">
        <v>350</v>
      </c>
    </row>
    <row r="40" spans="1:19" ht="19" thickBot="1">
      <c r="A40" s="242"/>
      <c r="B40" s="243"/>
      <c r="C40" s="244"/>
      <c r="D40" s="245"/>
      <c r="E40" s="246"/>
      <c r="F40" s="247"/>
      <c r="G40" s="248"/>
      <c r="H40" s="245"/>
      <c r="I40" s="247"/>
      <c r="J40" s="249"/>
      <c r="K40" s="249"/>
      <c r="L40" s="250"/>
      <c r="M40" s="251"/>
      <c r="N40" s="251"/>
      <c r="O40" s="252"/>
    </row>
    <row r="41" spans="1:19" ht="19" thickBot="1">
      <c r="A41" s="253"/>
      <c r="B41" s="253"/>
      <c r="C41" s="215"/>
      <c r="D41" s="215"/>
      <c r="E41" s="215"/>
      <c r="F41" s="215"/>
      <c r="G41" s="215"/>
      <c r="H41" s="215"/>
      <c r="I41" s="254"/>
      <c r="J41" s="255"/>
      <c r="K41" s="256" t="s">
        <v>133</v>
      </c>
      <c r="L41" s="512" t="s">
        <v>329</v>
      </c>
      <c r="M41" s="257"/>
      <c r="N41" s="258"/>
      <c r="O41" s="259"/>
    </row>
    <row r="42" spans="1:19">
      <c r="A42" s="111"/>
      <c r="C42" s="1"/>
      <c r="I42" s="108" t="s">
        <v>134</v>
      </c>
      <c r="J42" s="260">
        <f>G39</f>
        <v>1.675975975975976</v>
      </c>
      <c r="K42" s="260">
        <f>J42</f>
        <v>1.675975975975976</v>
      </c>
    </row>
    <row r="43" spans="1:19">
      <c r="A43" s="111"/>
      <c r="C43" s="1"/>
      <c r="I43" s="14"/>
      <c r="J43" s="3" t="s">
        <v>84</v>
      </c>
      <c r="K43" s="3" t="s">
        <v>85</v>
      </c>
      <c r="L43" s="3" t="s">
        <v>135</v>
      </c>
    </row>
    <row r="44" spans="1:19" ht="17">
      <c r="I44" s="261" t="s">
        <v>258</v>
      </c>
      <c r="J44" s="540">
        <f>J38*100*J42</f>
        <v>4.3910570570570577</v>
      </c>
      <c r="K44" s="540">
        <f>K38*100*K42</f>
        <v>6.6871441441441437</v>
      </c>
      <c r="L44" s="539">
        <f>((J44*I7)+(K44*J7))/K7</f>
        <v>5.5387577577577582</v>
      </c>
      <c r="M44" s="262"/>
      <c r="N44" s="262"/>
    </row>
    <row r="45" spans="1:19">
      <c r="B45" s="1"/>
      <c r="C45" s="1"/>
    </row>
    <row r="46" spans="1:19">
      <c r="B46" s="1"/>
      <c r="C46" s="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</sheetData>
  <mergeCells count="19">
    <mergeCell ref="B3:D3"/>
    <mergeCell ref="E3:G3"/>
    <mergeCell ref="I3:K3"/>
    <mergeCell ref="L3:M3"/>
    <mergeCell ref="D9:F9"/>
    <mergeCell ref="L30:O30"/>
    <mergeCell ref="B37:I37"/>
    <mergeCell ref="A38:A39"/>
    <mergeCell ref="F30:F31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</mergeCells>
  <pageMargins left="0.7" right="0.7" top="0.75" bottom="0.75" header="0.3" footer="0.3"/>
  <ignoredErrors>
    <ignoredError sqref="H7" formula="1"/>
    <ignoredError sqref="J38:K3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E94E-B86C-426E-85A6-095427C86349}">
  <dimension ref="A1:IV108"/>
  <sheetViews>
    <sheetView zoomScale="70" zoomScaleNormal="70" workbookViewId="0">
      <selection activeCell="A2" sqref="A2:F2"/>
    </sheetView>
  </sheetViews>
  <sheetFormatPr baseColWidth="10" defaultColWidth="11.453125" defaultRowHeight="14.5"/>
  <cols>
    <col min="1" max="1" width="22.26953125" style="114" customWidth="1"/>
    <col min="2" max="2" width="19.81640625" style="114" customWidth="1"/>
    <col min="3" max="3" width="20.1796875" style="114" customWidth="1"/>
    <col min="4" max="4" width="17" style="114" customWidth="1"/>
    <col min="5" max="5" width="17.453125" style="114" customWidth="1"/>
    <col min="6" max="6" width="17.7265625" style="114" customWidth="1"/>
    <col min="7" max="7" width="11.453125" style="114"/>
    <col min="8" max="8" width="2.7265625" style="114" customWidth="1"/>
    <col min="9" max="9" width="15.54296875" style="114" customWidth="1"/>
    <col min="10" max="10" width="22.54296875" style="114" customWidth="1"/>
    <col min="11" max="11" width="19.7265625" style="114" customWidth="1"/>
    <col min="12" max="12" width="10.26953125" style="114" bestFit="1" customWidth="1"/>
    <col min="13" max="13" width="12.7265625" style="114" bestFit="1" customWidth="1"/>
    <col min="14" max="14" width="12.453125" style="114" bestFit="1" customWidth="1"/>
    <col min="15" max="15" width="11.453125" style="114"/>
    <col min="16" max="16" width="12.1796875" style="114" bestFit="1" customWidth="1"/>
    <col min="17" max="17" width="11.453125" style="114"/>
    <col min="18" max="18" width="12.1796875" style="114" bestFit="1" customWidth="1"/>
    <col min="19" max="22" width="11.453125" style="114"/>
    <col min="23" max="23" width="11.1796875" style="114" customWidth="1"/>
    <col min="24" max="256" width="11.453125" style="114"/>
    <col min="257" max="257" width="22.26953125" style="114" customWidth="1"/>
    <col min="258" max="258" width="19.81640625" style="114" customWidth="1"/>
    <col min="259" max="259" width="20.1796875" style="114" customWidth="1"/>
    <col min="260" max="260" width="17" style="114" customWidth="1"/>
    <col min="261" max="261" width="17.453125" style="114" customWidth="1"/>
    <col min="262" max="262" width="17.7265625" style="114" customWidth="1"/>
    <col min="263" max="263" width="11.453125" style="114"/>
    <col min="264" max="264" width="2.7265625" style="114" customWidth="1"/>
    <col min="265" max="265" width="15.54296875" style="114" customWidth="1"/>
    <col min="266" max="266" width="22.54296875" style="114" customWidth="1"/>
    <col min="267" max="267" width="19.7265625" style="114" customWidth="1"/>
    <col min="268" max="268" width="10.26953125" style="114" bestFit="1" customWidth="1"/>
    <col min="269" max="269" width="12.7265625" style="114" bestFit="1" customWidth="1"/>
    <col min="270" max="270" width="12.453125" style="114" bestFit="1" customWidth="1"/>
    <col min="271" max="271" width="11.453125" style="114"/>
    <col min="272" max="272" width="12.1796875" style="114" bestFit="1" customWidth="1"/>
    <col min="273" max="273" width="11.453125" style="114"/>
    <col min="274" max="274" width="12.1796875" style="114" bestFit="1" customWidth="1"/>
    <col min="275" max="278" width="11.453125" style="114"/>
    <col min="279" max="279" width="11.1796875" style="114" customWidth="1"/>
    <col min="280" max="512" width="11.453125" style="114"/>
    <col min="513" max="513" width="22.26953125" style="114" customWidth="1"/>
    <col min="514" max="514" width="19.81640625" style="114" customWidth="1"/>
    <col min="515" max="515" width="20.1796875" style="114" customWidth="1"/>
    <col min="516" max="516" width="17" style="114" customWidth="1"/>
    <col min="517" max="517" width="17.453125" style="114" customWidth="1"/>
    <col min="518" max="518" width="17.7265625" style="114" customWidth="1"/>
    <col min="519" max="519" width="11.453125" style="114"/>
    <col min="520" max="520" width="2.7265625" style="114" customWidth="1"/>
    <col min="521" max="521" width="15.54296875" style="114" customWidth="1"/>
    <col min="522" max="522" width="22.54296875" style="114" customWidth="1"/>
    <col min="523" max="523" width="19.7265625" style="114" customWidth="1"/>
    <col min="524" max="524" width="10.26953125" style="114" bestFit="1" customWidth="1"/>
    <col min="525" max="525" width="12.7265625" style="114" bestFit="1" customWidth="1"/>
    <col min="526" max="526" width="12.453125" style="114" bestFit="1" customWidth="1"/>
    <col min="527" max="527" width="11.453125" style="114"/>
    <col min="528" max="528" width="12.1796875" style="114" bestFit="1" customWidth="1"/>
    <col min="529" max="529" width="11.453125" style="114"/>
    <col min="530" max="530" width="12.1796875" style="114" bestFit="1" customWidth="1"/>
    <col min="531" max="534" width="11.453125" style="114"/>
    <col min="535" max="535" width="11.1796875" style="114" customWidth="1"/>
    <col min="536" max="768" width="11.453125" style="114"/>
    <col min="769" max="769" width="22.26953125" style="114" customWidth="1"/>
    <col min="770" max="770" width="19.81640625" style="114" customWidth="1"/>
    <col min="771" max="771" width="20.1796875" style="114" customWidth="1"/>
    <col min="772" max="772" width="17" style="114" customWidth="1"/>
    <col min="773" max="773" width="17.453125" style="114" customWidth="1"/>
    <col min="774" max="774" width="17.7265625" style="114" customWidth="1"/>
    <col min="775" max="775" width="11.453125" style="114"/>
    <col min="776" max="776" width="2.7265625" style="114" customWidth="1"/>
    <col min="777" max="777" width="15.54296875" style="114" customWidth="1"/>
    <col min="778" max="778" width="22.54296875" style="114" customWidth="1"/>
    <col min="779" max="779" width="19.7265625" style="114" customWidth="1"/>
    <col min="780" max="780" width="10.26953125" style="114" bestFit="1" customWidth="1"/>
    <col min="781" max="781" width="12.7265625" style="114" bestFit="1" customWidth="1"/>
    <col min="782" max="782" width="12.453125" style="114" bestFit="1" customWidth="1"/>
    <col min="783" max="783" width="11.453125" style="114"/>
    <col min="784" max="784" width="12.1796875" style="114" bestFit="1" customWidth="1"/>
    <col min="785" max="785" width="11.453125" style="114"/>
    <col min="786" max="786" width="12.1796875" style="114" bestFit="1" customWidth="1"/>
    <col min="787" max="790" width="11.453125" style="114"/>
    <col min="791" max="791" width="11.1796875" style="114" customWidth="1"/>
    <col min="792" max="1024" width="11.453125" style="114"/>
    <col min="1025" max="1025" width="22.26953125" style="114" customWidth="1"/>
    <col min="1026" max="1026" width="19.81640625" style="114" customWidth="1"/>
    <col min="1027" max="1027" width="20.1796875" style="114" customWidth="1"/>
    <col min="1028" max="1028" width="17" style="114" customWidth="1"/>
    <col min="1029" max="1029" width="17.453125" style="114" customWidth="1"/>
    <col min="1030" max="1030" width="17.7265625" style="114" customWidth="1"/>
    <col min="1031" max="1031" width="11.453125" style="114"/>
    <col min="1032" max="1032" width="2.7265625" style="114" customWidth="1"/>
    <col min="1033" max="1033" width="15.54296875" style="114" customWidth="1"/>
    <col min="1034" max="1034" width="22.54296875" style="114" customWidth="1"/>
    <col min="1035" max="1035" width="19.7265625" style="114" customWidth="1"/>
    <col min="1036" max="1036" width="10.26953125" style="114" bestFit="1" customWidth="1"/>
    <col min="1037" max="1037" width="12.7265625" style="114" bestFit="1" customWidth="1"/>
    <col min="1038" max="1038" width="12.453125" style="114" bestFit="1" customWidth="1"/>
    <col min="1039" max="1039" width="11.453125" style="114"/>
    <col min="1040" max="1040" width="12.1796875" style="114" bestFit="1" customWidth="1"/>
    <col min="1041" max="1041" width="11.453125" style="114"/>
    <col min="1042" max="1042" width="12.1796875" style="114" bestFit="1" customWidth="1"/>
    <col min="1043" max="1046" width="11.453125" style="114"/>
    <col min="1047" max="1047" width="11.1796875" style="114" customWidth="1"/>
    <col min="1048" max="1280" width="11.453125" style="114"/>
    <col min="1281" max="1281" width="22.26953125" style="114" customWidth="1"/>
    <col min="1282" max="1282" width="19.81640625" style="114" customWidth="1"/>
    <col min="1283" max="1283" width="20.1796875" style="114" customWidth="1"/>
    <col min="1284" max="1284" width="17" style="114" customWidth="1"/>
    <col min="1285" max="1285" width="17.453125" style="114" customWidth="1"/>
    <col min="1286" max="1286" width="17.7265625" style="114" customWidth="1"/>
    <col min="1287" max="1287" width="11.453125" style="114"/>
    <col min="1288" max="1288" width="2.7265625" style="114" customWidth="1"/>
    <col min="1289" max="1289" width="15.54296875" style="114" customWidth="1"/>
    <col min="1290" max="1290" width="22.54296875" style="114" customWidth="1"/>
    <col min="1291" max="1291" width="19.7265625" style="114" customWidth="1"/>
    <col min="1292" max="1292" width="10.26953125" style="114" bestFit="1" customWidth="1"/>
    <col min="1293" max="1293" width="12.7265625" style="114" bestFit="1" customWidth="1"/>
    <col min="1294" max="1294" width="12.453125" style="114" bestFit="1" customWidth="1"/>
    <col min="1295" max="1295" width="11.453125" style="114"/>
    <col min="1296" max="1296" width="12.1796875" style="114" bestFit="1" customWidth="1"/>
    <col min="1297" max="1297" width="11.453125" style="114"/>
    <col min="1298" max="1298" width="12.1796875" style="114" bestFit="1" customWidth="1"/>
    <col min="1299" max="1302" width="11.453125" style="114"/>
    <col min="1303" max="1303" width="11.1796875" style="114" customWidth="1"/>
    <col min="1304" max="1536" width="11.453125" style="114"/>
    <col min="1537" max="1537" width="22.26953125" style="114" customWidth="1"/>
    <col min="1538" max="1538" width="19.81640625" style="114" customWidth="1"/>
    <col min="1539" max="1539" width="20.1796875" style="114" customWidth="1"/>
    <col min="1540" max="1540" width="17" style="114" customWidth="1"/>
    <col min="1541" max="1541" width="17.453125" style="114" customWidth="1"/>
    <col min="1542" max="1542" width="17.7265625" style="114" customWidth="1"/>
    <col min="1543" max="1543" width="11.453125" style="114"/>
    <col min="1544" max="1544" width="2.7265625" style="114" customWidth="1"/>
    <col min="1545" max="1545" width="15.54296875" style="114" customWidth="1"/>
    <col min="1546" max="1546" width="22.54296875" style="114" customWidth="1"/>
    <col min="1547" max="1547" width="19.7265625" style="114" customWidth="1"/>
    <col min="1548" max="1548" width="10.26953125" style="114" bestFit="1" customWidth="1"/>
    <col min="1549" max="1549" width="12.7265625" style="114" bestFit="1" customWidth="1"/>
    <col min="1550" max="1550" width="12.453125" style="114" bestFit="1" customWidth="1"/>
    <col min="1551" max="1551" width="11.453125" style="114"/>
    <col min="1552" max="1552" width="12.1796875" style="114" bestFit="1" customWidth="1"/>
    <col min="1553" max="1553" width="11.453125" style="114"/>
    <col min="1554" max="1554" width="12.1796875" style="114" bestFit="1" customWidth="1"/>
    <col min="1555" max="1558" width="11.453125" style="114"/>
    <col min="1559" max="1559" width="11.1796875" style="114" customWidth="1"/>
    <col min="1560" max="1792" width="11.453125" style="114"/>
    <col min="1793" max="1793" width="22.26953125" style="114" customWidth="1"/>
    <col min="1794" max="1794" width="19.81640625" style="114" customWidth="1"/>
    <col min="1795" max="1795" width="20.1796875" style="114" customWidth="1"/>
    <col min="1796" max="1796" width="17" style="114" customWidth="1"/>
    <col min="1797" max="1797" width="17.453125" style="114" customWidth="1"/>
    <col min="1798" max="1798" width="17.7265625" style="114" customWidth="1"/>
    <col min="1799" max="1799" width="11.453125" style="114"/>
    <col min="1800" max="1800" width="2.7265625" style="114" customWidth="1"/>
    <col min="1801" max="1801" width="15.54296875" style="114" customWidth="1"/>
    <col min="1802" max="1802" width="22.54296875" style="114" customWidth="1"/>
    <col min="1803" max="1803" width="19.7265625" style="114" customWidth="1"/>
    <col min="1804" max="1804" width="10.26953125" style="114" bestFit="1" customWidth="1"/>
    <col min="1805" max="1805" width="12.7265625" style="114" bestFit="1" customWidth="1"/>
    <col min="1806" max="1806" width="12.453125" style="114" bestFit="1" customWidth="1"/>
    <col min="1807" max="1807" width="11.453125" style="114"/>
    <col min="1808" max="1808" width="12.1796875" style="114" bestFit="1" customWidth="1"/>
    <col min="1809" max="1809" width="11.453125" style="114"/>
    <col min="1810" max="1810" width="12.1796875" style="114" bestFit="1" customWidth="1"/>
    <col min="1811" max="1814" width="11.453125" style="114"/>
    <col min="1815" max="1815" width="11.1796875" style="114" customWidth="1"/>
    <col min="1816" max="2048" width="11.453125" style="114"/>
    <col min="2049" max="2049" width="22.26953125" style="114" customWidth="1"/>
    <col min="2050" max="2050" width="19.81640625" style="114" customWidth="1"/>
    <col min="2051" max="2051" width="20.1796875" style="114" customWidth="1"/>
    <col min="2052" max="2052" width="17" style="114" customWidth="1"/>
    <col min="2053" max="2053" width="17.453125" style="114" customWidth="1"/>
    <col min="2054" max="2054" width="17.7265625" style="114" customWidth="1"/>
    <col min="2055" max="2055" width="11.453125" style="114"/>
    <col min="2056" max="2056" width="2.7265625" style="114" customWidth="1"/>
    <col min="2057" max="2057" width="15.54296875" style="114" customWidth="1"/>
    <col min="2058" max="2058" width="22.54296875" style="114" customWidth="1"/>
    <col min="2059" max="2059" width="19.7265625" style="114" customWidth="1"/>
    <col min="2060" max="2060" width="10.26953125" style="114" bestFit="1" customWidth="1"/>
    <col min="2061" max="2061" width="12.7265625" style="114" bestFit="1" customWidth="1"/>
    <col min="2062" max="2062" width="12.453125" style="114" bestFit="1" customWidth="1"/>
    <col min="2063" max="2063" width="11.453125" style="114"/>
    <col min="2064" max="2064" width="12.1796875" style="114" bestFit="1" customWidth="1"/>
    <col min="2065" max="2065" width="11.453125" style="114"/>
    <col min="2066" max="2066" width="12.1796875" style="114" bestFit="1" customWidth="1"/>
    <col min="2067" max="2070" width="11.453125" style="114"/>
    <col min="2071" max="2071" width="11.1796875" style="114" customWidth="1"/>
    <col min="2072" max="2304" width="11.453125" style="114"/>
    <col min="2305" max="2305" width="22.26953125" style="114" customWidth="1"/>
    <col min="2306" max="2306" width="19.81640625" style="114" customWidth="1"/>
    <col min="2307" max="2307" width="20.1796875" style="114" customWidth="1"/>
    <col min="2308" max="2308" width="17" style="114" customWidth="1"/>
    <col min="2309" max="2309" width="17.453125" style="114" customWidth="1"/>
    <col min="2310" max="2310" width="17.7265625" style="114" customWidth="1"/>
    <col min="2311" max="2311" width="11.453125" style="114"/>
    <col min="2312" max="2312" width="2.7265625" style="114" customWidth="1"/>
    <col min="2313" max="2313" width="15.54296875" style="114" customWidth="1"/>
    <col min="2314" max="2314" width="22.54296875" style="114" customWidth="1"/>
    <col min="2315" max="2315" width="19.7265625" style="114" customWidth="1"/>
    <col min="2316" max="2316" width="10.26953125" style="114" bestFit="1" customWidth="1"/>
    <col min="2317" max="2317" width="12.7265625" style="114" bestFit="1" customWidth="1"/>
    <col min="2318" max="2318" width="12.453125" style="114" bestFit="1" customWidth="1"/>
    <col min="2319" max="2319" width="11.453125" style="114"/>
    <col min="2320" max="2320" width="12.1796875" style="114" bestFit="1" customWidth="1"/>
    <col min="2321" max="2321" width="11.453125" style="114"/>
    <col min="2322" max="2322" width="12.1796875" style="114" bestFit="1" customWidth="1"/>
    <col min="2323" max="2326" width="11.453125" style="114"/>
    <col min="2327" max="2327" width="11.1796875" style="114" customWidth="1"/>
    <col min="2328" max="2560" width="11.453125" style="114"/>
    <col min="2561" max="2561" width="22.26953125" style="114" customWidth="1"/>
    <col min="2562" max="2562" width="19.81640625" style="114" customWidth="1"/>
    <col min="2563" max="2563" width="20.1796875" style="114" customWidth="1"/>
    <col min="2564" max="2564" width="17" style="114" customWidth="1"/>
    <col min="2565" max="2565" width="17.453125" style="114" customWidth="1"/>
    <col min="2566" max="2566" width="17.7265625" style="114" customWidth="1"/>
    <col min="2567" max="2567" width="11.453125" style="114"/>
    <col min="2568" max="2568" width="2.7265625" style="114" customWidth="1"/>
    <col min="2569" max="2569" width="15.54296875" style="114" customWidth="1"/>
    <col min="2570" max="2570" width="22.54296875" style="114" customWidth="1"/>
    <col min="2571" max="2571" width="19.7265625" style="114" customWidth="1"/>
    <col min="2572" max="2572" width="10.26953125" style="114" bestFit="1" customWidth="1"/>
    <col min="2573" max="2573" width="12.7265625" style="114" bestFit="1" customWidth="1"/>
    <col min="2574" max="2574" width="12.453125" style="114" bestFit="1" customWidth="1"/>
    <col min="2575" max="2575" width="11.453125" style="114"/>
    <col min="2576" max="2576" width="12.1796875" style="114" bestFit="1" customWidth="1"/>
    <col min="2577" max="2577" width="11.453125" style="114"/>
    <col min="2578" max="2578" width="12.1796875" style="114" bestFit="1" customWidth="1"/>
    <col min="2579" max="2582" width="11.453125" style="114"/>
    <col min="2583" max="2583" width="11.1796875" style="114" customWidth="1"/>
    <col min="2584" max="2816" width="11.453125" style="114"/>
    <col min="2817" max="2817" width="22.26953125" style="114" customWidth="1"/>
    <col min="2818" max="2818" width="19.81640625" style="114" customWidth="1"/>
    <col min="2819" max="2819" width="20.1796875" style="114" customWidth="1"/>
    <col min="2820" max="2820" width="17" style="114" customWidth="1"/>
    <col min="2821" max="2821" width="17.453125" style="114" customWidth="1"/>
    <col min="2822" max="2822" width="17.7265625" style="114" customWidth="1"/>
    <col min="2823" max="2823" width="11.453125" style="114"/>
    <col min="2824" max="2824" width="2.7265625" style="114" customWidth="1"/>
    <col min="2825" max="2825" width="15.54296875" style="114" customWidth="1"/>
    <col min="2826" max="2826" width="22.54296875" style="114" customWidth="1"/>
    <col min="2827" max="2827" width="19.7265625" style="114" customWidth="1"/>
    <col min="2828" max="2828" width="10.26953125" style="114" bestFit="1" customWidth="1"/>
    <col min="2829" max="2829" width="12.7265625" style="114" bestFit="1" customWidth="1"/>
    <col min="2830" max="2830" width="12.453125" style="114" bestFit="1" customWidth="1"/>
    <col min="2831" max="2831" width="11.453125" style="114"/>
    <col min="2832" max="2832" width="12.1796875" style="114" bestFit="1" customWidth="1"/>
    <col min="2833" max="2833" width="11.453125" style="114"/>
    <col min="2834" max="2834" width="12.1796875" style="114" bestFit="1" customWidth="1"/>
    <col min="2835" max="2838" width="11.453125" style="114"/>
    <col min="2839" max="2839" width="11.1796875" style="114" customWidth="1"/>
    <col min="2840" max="3072" width="11.453125" style="114"/>
    <col min="3073" max="3073" width="22.26953125" style="114" customWidth="1"/>
    <col min="3074" max="3074" width="19.81640625" style="114" customWidth="1"/>
    <col min="3075" max="3075" width="20.1796875" style="114" customWidth="1"/>
    <col min="3076" max="3076" width="17" style="114" customWidth="1"/>
    <col min="3077" max="3077" width="17.453125" style="114" customWidth="1"/>
    <col min="3078" max="3078" width="17.7265625" style="114" customWidth="1"/>
    <col min="3079" max="3079" width="11.453125" style="114"/>
    <col min="3080" max="3080" width="2.7265625" style="114" customWidth="1"/>
    <col min="3081" max="3081" width="15.54296875" style="114" customWidth="1"/>
    <col min="3082" max="3082" width="22.54296875" style="114" customWidth="1"/>
    <col min="3083" max="3083" width="19.7265625" style="114" customWidth="1"/>
    <col min="3084" max="3084" width="10.26953125" style="114" bestFit="1" customWidth="1"/>
    <col min="3085" max="3085" width="12.7265625" style="114" bestFit="1" customWidth="1"/>
    <col min="3086" max="3086" width="12.453125" style="114" bestFit="1" customWidth="1"/>
    <col min="3087" max="3087" width="11.453125" style="114"/>
    <col min="3088" max="3088" width="12.1796875" style="114" bestFit="1" customWidth="1"/>
    <col min="3089" max="3089" width="11.453125" style="114"/>
    <col min="3090" max="3090" width="12.1796875" style="114" bestFit="1" customWidth="1"/>
    <col min="3091" max="3094" width="11.453125" style="114"/>
    <col min="3095" max="3095" width="11.1796875" style="114" customWidth="1"/>
    <col min="3096" max="3328" width="11.453125" style="114"/>
    <col min="3329" max="3329" width="22.26953125" style="114" customWidth="1"/>
    <col min="3330" max="3330" width="19.81640625" style="114" customWidth="1"/>
    <col min="3331" max="3331" width="20.1796875" style="114" customWidth="1"/>
    <col min="3332" max="3332" width="17" style="114" customWidth="1"/>
    <col min="3333" max="3333" width="17.453125" style="114" customWidth="1"/>
    <col min="3334" max="3334" width="17.7265625" style="114" customWidth="1"/>
    <col min="3335" max="3335" width="11.453125" style="114"/>
    <col min="3336" max="3336" width="2.7265625" style="114" customWidth="1"/>
    <col min="3337" max="3337" width="15.54296875" style="114" customWidth="1"/>
    <col min="3338" max="3338" width="22.54296875" style="114" customWidth="1"/>
    <col min="3339" max="3339" width="19.7265625" style="114" customWidth="1"/>
    <col min="3340" max="3340" width="10.26953125" style="114" bestFit="1" customWidth="1"/>
    <col min="3341" max="3341" width="12.7265625" style="114" bestFit="1" customWidth="1"/>
    <col min="3342" max="3342" width="12.453125" style="114" bestFit="1" customWidth="1"/>
    <col min="3343" max="3343" width="11.453125" style="114"/>
    <col min="3344" max="3344" width="12.1796875" style="114" bestFit="1" customWidth="1"/>
    <col min="3345" max="3345" width="11.453125" style="114"/>
    <col min="3346" max="3346" width="12.1796875" style="114" bestFit="1" customWidth="1"/>
    <col min="3347" max="3350" width="11.453125" style="114"/>
    <col min="3351" max="3351" width="11.1796875" style="114" customWidth="1"/>
    <col min="3352" max="3584" width="11.453125" style="114"/>
    <col min="3585" max="3585" width="22.26953125" style="114" customWidth="1"/>
    <col min="3586" max="3586" width="19.81640625" style="114" customWidth="1"/>
    <col min="3587" max="3587" width="20.1796875" style="114" customWidth="1"/>
    <col min="3588" max="3588" width="17" style="114" customWidth="1"/>
    <col min="3589" max="3589" width="17.453125" style="114" customWidth="1"/>
    <col min="3590" max="3590" width="17.7265625" style="114" customWidth="1"/>
    <col min="3591" max="3591" width="11.453125" style="114"/>
    <col min="3592" max="3592" width="2.7265625" style="114" customWidth="1"/>
    <col min="3593" max="3593" width="15.54296875" style="114" customWidth="1"/>
    <col min="3594" max="3594" width="22.54296875" style="114" customWidth="1"/>
    <col min="3595" max="3595" width="19.7265625" style="114" customWidth="1"/>
    <col min="3596" max="3596" width="10.26953125" style="114" bestFit="1" customWidth="1"/>
    <col min="3597" max="3597" width="12.7265625" style="114" bestFit="1" customWidth="1"/>
    <col min="3598" max="3598" width="12.453125" style="114" bestFit="1" customWidth="1"/>
    <col min="3599" max="3599" width="11.453125" style="114"/>
    <col min="3600" max="3600" width="12.1796875" style="114" bestFit="1" customWidth="1"/>
    <col min="3601" max="3601" width="11.453125" style="114"/>
    <col min="3602" max="3602" width="12.1796875" style="114" bestFit="1" customWidth="1"/>
    <col min="3603" max="3606" width="11.453125" style="114"/>
    <col min="3607" max="3607" width="11.1796875" style="114" customWidth="1"/>
    <col min="3608" max="3840" width="11.453125" style="114"/>
    <col min="3841" max="3841" width="22.26953125" style="114" customWidth="1"/>
    <col min="3842" max="3842" width="19.81640625" style="114" customWidth="1"/>
    <col min="3843" max="3843" width="20.1796875" style="114" customWidth="1"/>
    <col min="3844" max="3844" width="17" style="114" customWidth="1"/>
    <col min="3845" max="3845" width="17.453125" style="114" customWidth="1"/>
    <col min="3846" max="3846" width="17.7265625" style="114" customWidth="1"/>
    <col min="3847" max="3847" width="11.453125" style="114"/>
    <col min="3848" max="3848" width="2.7265625" style="114" customWidth="1"/>
    <col min="3849" max="3849" width="15.54296875" style="114" customWidth="1"/>
    <col min="3850" max="3850" width="22.54296875" style="114" customWidth="1"/>
    <col min="3851" max="3851" width="19.7265625" style="114" customWidth="1"/>
    <col min="3852" max="3852" width="10.26953125" style="114" bestFit="1" customWidth="1"/>
    <col min="3853" max="3853" width="12.7265625" style="114" bestFit="1" customWidth="1"/>
    <col min="3854" max="3854" width="12.453125" style="114" bestFit="1" customWidth="1"/>
    <col min="3855" max="3855" width="11.453125" style="114"/>
    <col min="3856" max="3856" width="12.1796875" style="114" bestFit="1" customWidth="1"/>
    <col min="3857" max="3857" width="11.453125" style="114"/>
    <col min="3858" max="3858" width="12.1796875" style="114" bestFit="1" customWidth="1"/>
    <col min="3859" max="3862" width="11.453125" style="114"/>
    <col min="3863" max="3863" width="11.1796875" style="114" customWidth="1"/>
    <col min="3864" max="4096" width="11.453125" style="114"/>
    <col min="4097" max="4097" width="22.26953125" style="114" customWidth="1"/>
    <col min="4098" max="4098" width="19.81640625" style="114" customWidth="1"/>
    <col min="4099" max="4099" width="20.1796875" style="114" customWidth="1"/>
    <col min="4100" max="4100" width="17" style="114" customWidth="1"/>
    <col min="4101" max="4101" width="17.453125" style="114" customWidth="1"/>
    <col min="4102" max="4102" width="17.7265625" style="114" customWidth="1"/>
    <col min="4103" max="4103" width="11.453125" style="114"/>
    <col min="4104" max="4104" width="2.7265625" style="114" customWidth="1"/>
    <col min="4105" max="4105" width="15.54296875" style="114" customWidth="1"/>
    <col min="4106" max="4106" width="22.54296875" style="114" customWidth="1"/>
    <col min="4107" max="4107" width="19.7265625" style="114" customWidth="1"/>
    <col min="4108" max="4108" width="10.26953125" style="114" bestFit="1" customWidth="1"/>
    <col min="4109" max="4109" width="12.7265625" style="114" bestFit="1" customWidth="1"/>
    <col min="4110" max="4110" width="12.453125" style="114" bestFit="1" customWidth="1"/>
    <col min="4111" max="4111" width="11.453125" style="114"/>
    <col min="4112" max="4112" width="12.1796875" style="114" bestFit="1" customWidth="1"/>
    <col min="4113" max="4113" width="11.453125" style="114"/>
    <col min="4114" max="4114" width="12.1796875" style="114" bestFit="1" customWidth="1"/>
    <col min="4115" max="4118" width="11.453125" style="114"/>
    <col min="4119" max="4119" width="11.1796875" style="114" customWidth="1"/>
    <col min="4120" max="4352" width="11.453125" style="114"/>
    <col min="4353" max="4353" width="22.26953125" style="114" customWidth="1"/>
    <col min="4354" max="4354" width="19.81640625" style="114" customWidth="1"/>
    <col min="4355" max="4355" width="20.1796875" style="114" customWidth="1"/>
    <col min="4356" max="4356" width="17" style="114" customWidth="1"/>
    <col min="4357" max="4357" width="17.453125" style="114" customWidth="1"/>
    <col min="4358" max="4358" width="17.7265625" style="114" customWidth="1"/>
    <col min="4359" max="4359" width="11.453125" style="114"/>
    <col min="4360" max="4360" width="2.7265625" style="114" customWidth="1"/>
    <col min="4361" max="4361" width="15.54296875" style="114" customWidth="1"/>
    <col min="4362" max="4362" width="22.54296875" style="114" customWidth="1"/>
    <col min="4363" max="4363" width="19.7265625" style="114" customWidth="1"/>
    <col min="4364" max="4364" width="10.26953125" style="114" bestFit="1" customWidth="1"/>
    <col min="4365" max="4365" width="12.7265625" style="114" bestFit="1" customWidth="1"/>
    <col min="4366" max="4366" width="12.453125" style="114" bestFit="1" customWidth="1"/>
    <col min="4367" max="4367" width="11.453125" style="114"/>
    <col min="4368" max="4368" width="12.1796875" style="114" bestFit="1" customWidth="1"/>
    <col min="4369" max="4369" width="11.453125" style="114"/>
    <col min="4370" max="4370" width="12.1796875" style="114" bestFit="1" customWidth="1"/>
    <col min="4371" max="4374" width="11.453125" style="114"/>
    <col min="4375" max="4375" width="11.1796875" style="114" customWidth="1"/>
    <col min="4376" max="4608" width="11.453125" style="114"/>
    <col min="4609" max="4609" width="22.26953125" style="114" customWidth="1"/>
    <col min="4610" max="4610" width="19.81640625" style="114" customWidth="1"/>
    <col min="4611" max="4611" width="20.1796875" style="114" customWidth="1"/>
    <col min="4612" max="4612" width="17" style="114" customWidth="1"/>
    <col min="4613" max="4613" width="17.453125" style="114" customWidth="1"/>
    <col min="4614" max="4614" width="17.7265625" style="114" customWidth="1"/>
    <col min="4615" max="4615" width="11.453125" style="114"/>
    <col min="4616" max="4616" width="2.7265625" style="114" customWidth="1"/>
    <col min="4617" max="4617" width="15.54296875" style="114" customWidth="1"/>
    <col min="4618" max="4618" width="22.54296875" style="114" customWidth="1"/>
    <col min="4619" max="4619" width="19.7265625" style="114" customWidth="1"/>
    <col min="4620" max="4620" width="10.26953125" style="114" bestFit="1" customWidth="1"/>
    <col min="4621" max="4621" width="12.7265625" style="114" bestFit="1" customWidth="1"/>
    <col min="4622" max="4622" width="12.453125" style="114" bestFit="1" customWidth="1"/>
    <col min="4623" max="4623" width="11.453125" style="114"/>
    <col min="4624" max="4624" width="12.1796875" style="114" bestFit="1" customWidth="1"/>
    <col min="4625" max="4625" width="11.453125" style="114"/>
    <col min="4626" max="4626" width="12.1796875" style="114" bestFit="1" customWidth="1"/>
    <col min="4627" max="4630" width="11.453125" style="114"/>
    <col min="4631" max="4631" width="11.1796875" style="114" customWidth="1"/>
    <col min="4632" max="4864" width="11.453125" style="114"/>
    <col min="4865" max="4865" width="22.26953125" style="114" customWidth="1"/>
    <col min="4866" max="4866" width="19.81640625" style="114" customWidth="1"/>
    <col min="4867" max="4867" width="20.1796875" style="114" customWidth="1"/>
    <col min="4868" max="4868" width="17" style="114" customWidth="1"/>
    <col min="4869" max="4869" width="17.453125" style="114" customWidth="1"/>
    <col min="4870" max="4870" width="17.7265625" style="114" customWidth="1"/>
    <col min="4871" max="4871" width="11.453125" style="114"/>
    <col min="4872" max="4872" width="2.7265625" style="114" customWidth="1"/>
    <col min="4873" max="4873" width="15.54296875" style="114" customWidth="1"/>
    <col min="4874" max="4874" width="22.54296875" style="114" customWidth="1"/>
    <col min="4875" max="4875" width="19.7265625" style="114" customWidth="1"/>
    <col min="4876" max="4876" width="10.26953125" style="114" bestFit="1" customWidth="1"/>
    <col min="4877" max="4877" width="12.7265625" style="114" bestFit="1" customWidth="1"/>
    <col min="4878" max="4878" width="12.453125" style="114" bestFit="1" customWidth="1"/>
    <col min="4879" max="4879" width="11.453125" style="114"/>
    <col min="4880" max="4880" width="12.1796875" style="114" bestFit="1" customWidth="1"/>
    <col min="4881" max="4881" width="11.453125" style="114"/>
    <col min="4882" max="4882" width="12.1796875" style="114" bestFit="1" customWidth="1"/>
    <col min="4883" max="4886" width="11.453125" style="114"/>
    <col min="4887" max="4887" width="11.1796875" style="114" customWidth="1"/>
    <col min="4888" max="5120" width="11.453125" style="114"/>
    <col min="5121" max="5121" width="22.26953125" style="114" customWidth="1"/>
    <col min="5122" max="5122" width="19.81640625" style="114" customWidth="1"/>
    <col min="5123" max="5123" width="20.1796875" style="114" customWidth="1"/>
    <col min="5124" max="5124" width="17" style="114" customWidth="1"/>
    <col min="5125" max="5125" width="17.453125" style="114" customWidth="1"/>
    <col min="5126" max="5126" width="17.7265625" style="114" customWidth="1"/>
    <col min="5127" max="5127" width="11.453125" style="114"/>
    <col min="5128" max="5128" width="2.7265625" style="114" customWidth="1"/>
    <col min="5129" max="5129" width="15.54296875" style="114" customWidth="1"/>
    <col min="5130" max="5130" width="22.54296875" style="114" customWidth="1"/>
    <col min="5131" max="5131" width="19.7265625" style="114" customWidth="1"/>
    <col min="5132" max="5132" width="10.26953125" style="114" bestFit="1" customWidth="1"/>
    <col min="5133" max="5133" width="12.7265625" style="114" bestFit="1" customWidth="1"/>
    <col min="5134" max="5134" width="12.453125" style="114" bestFit="1" customWidth="1"/>
    <col min="5135" max="5135" width="11.453125" style="114"/>
    <col min="5136" max="5136" width="12.1796875" style="114" bestFit="1" customWidth="1"/>
    <col min="5137" max="5137" width="11.453125" style="114"/>
    <col min="5138" max="5138" width="12.1796875" style="114" bestFit="1" customWidth="1"/>
    <col min="5139" max="5142" width="11.453125" style="114"/>
    <col min="5143" max="5143" width="11.1796875" style="114" customWidth="1"/>
    <col min="5144" max="5376" width="11.453125" style="114"/>
    <col min="5377" max="5377" width="22.26953125" style="114" customWidth="1"/>
    <col min="5378" max="5378" width="19.81640625" style="114" customWidth="1"/>
    <col min="5379" max="5379" width="20.1796875" style="114" customWidth="1"/>
    <col min="5380" max="5380" width="17" style="114" customWidth="1"/>
    <col min="5381" max="5381" width="17.453125" style="114" customWidth="1"/>
    <col min="5382" max="5382" width="17.7265625" style="114" customWidth="1"/>
    <col min="5383" max="5383" width="11.453125" style="114"/>
    <col min="5384" max="5384" width="2.7265625" style="114" customWidth="1"/>
    <col min="5385" max="5385" width="15.54296875" style="114" customWidth="1"/>
    <col min="5386" max="5386" width="22.54296875" style="114" customWidth="1"/>
    <col min="5387" max="5387" width="19.7265625" style="114" customWidth="1"/>
    <col min="5388" max="5388" width="10.26953125" style="114" bestFit="1" customWidth="1"/>
    <col min="5389" max="5389" width="12.7265625" style="114" bestFit="1" customWidth="1"/>
    <col min="5390" max="5390" width="12.453125" style="114" bestFit="1" customWidth="1"/>
    <col min="5391" max="5391" width="11.453125" style="114"/>
    <col min="5392" max="5392" width="12.1796875" style="114" bestFit="1" customWidth="1"/>
    <col min="5393" max="5393" width="11.453125" style="114"/>
    <col min="5394" max="5394" width="12.1796875" style="114" bestFit="1" customWidth="1"/>
    <col min="5395" max="5398" width="11.453125" style="114"/>
    <col min="5399" max="5399" width="11.1796875" style="114" customWidth="1"/>
    <col min="5400" max="5632" width="11.453125" style="114"/>
    <col min="5633" max="5633" width="22.26953125" style="114" customWidth="1"/>
    <col min="5634" max="5634" width="19.81640625" style="114" customWidth="1"/>
    <col min="5635" max="5635" width="20.1796875" style="114" customWidth="1"/>
    <col min="5636" max="5636" width="17" style="114" customWidth="1"/>
    <col min="5637" max="5637" width="17.453125" style="114" customWidth="1"/>
    <col min="5638" max="5638" width="17.7265625" style="114" customWidth="1"/>
    <col min="5639" max="5639" width="11.453125" style="114"/>
    <col min="5640" max="5640" width="2.7265625" style="114" customWidth="1"/>
    <col min="5641" max="5641" width="15.54296875" style="114" customWidth="1"/>
    <col min="5642" max="5642" width="22.54296875" style="114" customWidth="1"/>
    <col min="5643" max="5643" width="19.7265625" style="114" customWidth="1"/>
    <col min="5644" max="5644" width="10.26953125" style="114" bestFit="1" customWidth="1"/>
    <col min="5645" max="5645" width="12.7265625" style="114" bestFit="1" customWidth="1"/>
    <col min="5646" max="5646" width="12.453125" style="114" bestFit="1" customWidth="1"/>
    <col min="5647" max="5647" width="11.453125" style="114"/>
    <col min="5648" max="5648" width="12.1796875" style="114" bestFit="1" customWidth="1"/>
    <col min="5649" max="5649" width="11.453125" style="114"/>
    <col min="5650" max="5650" width="12.1796875" style="114" bestFit="1" customWidth="1"/>
    <col min="5651" max="5654" width="11.453125" style="114"/>
    <col min="5655" max="5655" width="11.1796875" style="114" customWidth="1"/>
    <col min="5656" max="5888" width="11.453125" style="114"/>
    <col min="5889" max="5889" width="22.26953125" style="114" customWidth="1"/>
    <col min="5890" max="5890" width="19.81640625" style="114" customWidth="1"/>
    <col min="5891" max="5891" width="20.1796875" style="114" customWidth="1"/>
    <col min="5892" max="5892" width="17" style="114" customWidth="1"/>
    <col min="5893" max="5893" width="17.453125" style="114" customWidth="1"/>
    <col min="5894" max="5894" width="17.7265625" style="114" customWidth="1"/>
    <col min="5895" max="5895" width="11.453125" style="114"/>
    <col min="5896" max="5896" width="2.7265625" style="114" customWidth="1"/>
    <col min="5897" max="5897" width="15.54296875" style="114" customWidth="1"/>
    <col min="5898" max="5898" width="22.54296875" style="114" customWidth="1"/>
    <col min="5899" max="5899" width="19.7265625" style="114" customWidth="1"/>
    <col min="5900" max="5900" width="10.26953125" style="114" bestFit="1" customWidth="1"/>
    <col min="5901" max="5901" width="12.7265625" style="114" bestFit="1" customWidth="1"/>
    <col min="5902" max="5902" width="12.453125" style="114" bestFit="1" customWidth="1"/>
    <col min="5903" max="5903" width="11.453125" style="114"/>
    <col min="5904" max="5904" width="12.1796875" style="114" bestFit="1" customWidth="1"/>
    <col min="5905" max="5905" width="11.453125" style="114"/>
    <col min="5906" max="5906" width="12.1796875" style="114" bestFit="1" customWidth="1"/>
    <col min="5907" max="5910" width="11.453125" style="114"/>
    <col min="5911" max="5911" width="11.1796875" style="114" customWidth="1"/>
    <col min="5912" max="6144" width="11.453125" style="114"/>
    <col min="6145" max="6145" width="22.26953125" style="114" customWidth="1"/>
    <col min="6146" max="6146" width="19.81640625" style="114" customWidth="1"/>
    <col min="6147" max="6147" width="20.1796875" style="114" customWidth="1"/>
    <col min="6148" max="6148" width="17" style="114" customWidth="1"/>
    <col min="6149" max="6149" width="17.453125" style="114" customWidth="1"/>
    <col min="6150" max="6150" width="17.7265625" style="114" customWidth="1"/>
    <col min="6151" max="6151" width="11.453125" style="114"/>
    <col min="6152" max="6152" width="2.7265625" style="114" customWidth="1"/>
    <col min="6153" max="6153" width="15.54296875" style="114" customWidth="1"/>
    <col min="6154" max="6154" width="22.54296875" style="114" customWidth="1"/>
    <col min="6155" max="6155" width="19.7265625" style="114" customWidth="1"/>
    <col min="6156" max="6156" width="10.26953125" style="114" bestFit="1" customWidth="1"/>
    <col min="6157" max="6157" width="12.7265625" style="114" bestFit="1" customWidth="1"/>
    <col min="6158" max="6158" width="12.453125" style="114" bestFit="1" customWidth="1"/>
    <col min="6159" max="6159" width="11.453125" style="114"/>
    <col min="6160" max="6160" width="12.1796875" style="114" bestFit="1" customWidth="1"/>
    <col min="6161" max="6161" width="11.453125" style="114"/>
    <col min="6162" max="6162" width="12.1796875" style="114" bestFit="1" customWidth="1"/>
    <col min="6163" max="6166" width="11.453125" style="114"/>
    <col min="6167" max="6167" width="11.1796875" style="114" customWidth="1"/>
    <col min="6168" max="6400" width="11.453125" style="114"/>
    <col min="6401" max="6401" width="22.26953125" style="114" customWidth="1"/>
    <col min="6402" max="6402" width="19.81640625" style="114" customWidth="1"/>
    <col min="6403" max="6403" width="20.1796875" style="114" customWidth="1"/>
    <col min="6404" max="6404" width="17" style="114" customWidth="1"/>
    <col min="6405" max="6405" width="17.453125" style="114" customWidth="1"/>
    <col min="6406" max="6406" width="17.7265625" style="114" customWidth="1"/>
    <col min="6407" max="6407" width="11.453125" style="114"/>
    <col min="6408" max="6408" width="2.7265625" style="114" customWidth="1"/>
    <col min="6409" max="6409" width="15.54296875" style="114" customWidth="1"/>
    <col min="6410" max="6410" width="22.54296875" style="114" customWidth="1"/>
    <col min="6411" max="6411" width="19.7265625" style="114" customWidth="1"/>
    <col min="6412" max="6412" width="10.26953125" style="114" bestFit="1" customWidth="1"/>
    <col min="6413" max="6413" width="12.7265625" style="114" bestFit="1" customWidth="1"/>
    <col min="6414" max="6414" width="12.453125" style="114" bestFit="1" customWidth="1"/>
    <col min="6415" max="6415" width="11.453125" style="114"/>
    <col min="6416" max="6416" width="12.1796875" style="114" bestFit="1" customWidth="1"/>
    <col min="6417" max="6417" width="11.453125" style="114"/>
    <col min="6418" max="6418" width="12.1796875" style="114" bestFit="1" customWidth="1"/>
    <col min="6419" max="6422" width="11.453125" style="114"/>
    <col min="6423" max="6423" width="11.1796875" style="114" customWidth="1"/>
    <col min="6424" max="6656" width="11.453125" style="114"/>
    <col min="6657" max="6657" width="22.26953125" style="114" customWidth="1"/>
    <col min="6658" max="6658" width="19.81640625" style="114" customWidth="1"/>
    <col min="6659" max="6659" width="20.1796875" style="114" customWidth="1"/>
    <col min="6660" max="6660" width="17" style="114" customWidth="1"/>
    <col min="6661" max="6661" width="17.453125" style="114" customWidth="1"/>
    <col min="6662" max="6662" width="17.7265625" style="114" customWidth="1"/>
    <col min="6663" max="6663" width="11.453125" style="114"/>
    <col min="6664" max="6664" width="2.7265625" style="114" customWidth="1"/>
    <col min="6665" max="6665" width="15.54296875" style="114" customWidth="1"/>
    <col min="6666" max="6666" width="22.54296875" style="114" customWidth="1"/>
    <col min="6667" max="6667" width="19.7265625" style="114" customWidth="1"/>
    <col min="6668" max="6668" width="10.26953125" style="114" bestFit="1" customWidth="1"/>
    <col min="6669" max="6669" width="12.7265625" style="114" bestFit="1" customWidth="1"/>
    <col min="6670" max="6670" width="12.453125" style="114" bestFit="1" customWidth="1"/>
    <col min="6671" max="6671" width="11.453125" style="114"/>
    <col min="6672" max="6672" width="12.1796875" style="114" bestFit="1" customWidth="1"/>
    <col min="6673" max="6673" width="11.453125" style="114"/>
    <col min="6674" max="6674" width="12.1796875" style="114" bestFit="1" customWidth="1"/>
    <col min="6675" max="6678" width="11.453125" style="114"/>
    <col min="6679" max="6679" width="11.1796875" style="114" customWidth="1"/>
    <col min="6680" max="6912" width="11.453125" style="114"/>
    <col min="6913" max="6913" width="22.26953125" style="114" customWidth="1"/>
    <col min="6914" max="6914" width="19.81640625" style="114" customWidth="1"/>
    <col min="6915" max="6915" width="20.1796875" style="114" customWidth="1"/>
    <col min="6916" max="6916" width="17" style="114" customWidth="1"/>
    <col min="6917" max="6917" width="17.453125" style="114" customWidth="1"/>
    <col min="6918" max="6918" width="17.7265625" style="114" customWidth="1"/>
    <col min="6919" max="6919" width="11.453125" style="114"/>
    <col min="6920" max="6920" width="2.7265625" style="114" customWidth="1"/>
    <col min="6921" max="6921" width="15.54296875" style="114" customWidth="1"/>
    <col min="6922" max="6922" width="22.54296875" style="114" customWidth="1"/>
    <col min="6923" max="6923" width="19.7265625" style="114" customWidth="1"/>
    <col min="6924" max="6924" width="10.26953125" style="114" bestFit="1" customWidth="1"/>
    <col min="6925" max="6925" width="12.7265625" style="114" bestFit="1" customWidth="1"/>
    <col min="6926" max="6926" width="12.453125" style="114" bestFit="1" customWidth="1"/>
    <col min="6927" max="6927" width="11.453125" style="114"/>
    <col min="6928" max="6928" width="12.1796875" style="114" bestFit="1" customWidth="1"/>
    <col min="6929" max="6929" width="11.453125" style="114"/>
    <col min="6930" max="6930" width="12.1796875" style="114" bestFit="1" customWidth="1"/>
    <col min="6931" max="6934" width="11.453125" style="114"/>
    <col min="6935" max="6935" width="11.1796875" style="114" customWidth="1"/>
    <col min="6936" max="7168" width="11.453125" style="114"/>
    <col min="7169" max="7169" width="22.26953125" style="114" customWidth="1"/>
    <col min="7170" max="7170" width="19.81640625" style="114" customWidth="1"/>
    <col min="7171" max="7171" width="20.1796875" style="114" customWidth="1"/>
    <col min="7172" max="7172" width="17" style="114" customWidth="1"/>
    <col min="7173" max="7173" width="17.453125" style="114" customWidth="1"/>
    <col min="7174" max="7174" width="17.7265625" style="114" customWidth="1"/>
    <col min="7175" max="7175" width="11.453125" style="114"/>
    <col min="7176" max="7176" width="2.7265625" style="114" customWidth="1"/>
    <col min="7177" max="7177" width="15.54296875" style="114" customWidth="1"/>
    <col min="7178" max="7178" width="22.54296875" style="114" customWidth="1"/>
    <col min="7179" max="7179" width="19.7265625" style="114" customWidth="1"/>
    <col min="7180" max="7180" width="10.26953125" style="114" bestFit="1" customWidth="1"/>
    <col min="7181" max="7181" width="12.7265625" style="114" bestFit="1" customWidth="1"/>
    <col min="7182" max="7182" width="12.453125" style="114" bestFit="1" customWidth="1"/>
    <col min="7183" max="7183" width="11.453125" style="114"/>
    <col min="7184" max="7184" width="12.1796875" style="114" bestFit="1" customWidth="1"/>
    <col min="7185" max="7185" width="11.453125" style="114"/>
    <col min="7186" max="7186" width="12.1796875" style="114" bestFit="1" customWidth="1"/>
    <col min="7187" max="7190" width="11.453125" style="114"/>
    <col min="7191" max="7191" width="11.1796875" style="114" customWidth="1"/>
    <col min="7192" max="7424" width="11.453125" style="114"/>
    <col min="7425" max="7425" width="22.26953125" style="114" customWidth="1"/>
    <col min="7426" max="7426" width="19.81640625" style="114" customWidth="1"/>
    <col min="7427" max="7427" width="20.1796875" style="114" customWidth="1"/>
    <col min="7428" max="7428" width="17" style="114" customWidth="1"/>
    <col min="7429" max="7429" width="17.453125" style="114" customWidth="1"/>
    <col min="7430" max="7430" width="17.7265625" style="114" customWidth="1"/>
    <col min="7431" max="7431" width="11.453125" style="114"/>
    <col min="7432" max="7432" width="2.7265625" style="114" customWidth="1"/>
    <col min="7433" max="7433" width="15.54296875" style="114" customWidth="1"/>
    <col min="7434" max="7434" width="22.54296875" style="114" customWidth="1"/>
    <col min="7435" max="7435" width="19.7265625" style="114" customWidth="1"/>
    <col min="7436" max="7436" width="10.26953125" style="114" bestFit="1" customWidth="1"/>
    <col min="7437" max="7437" width="12.7265625" style="114" bestFit="1" customWidth="1"/>
    <col min="7438" max="7438" width="12.453125" style="114" bestFit="1" customWidth="1"/>
    <col min="7439" max="7439" width="11.453125" style="114"/>
    <col min="7440" max="7440" width="12.1796875" style="114" bestFit="1" customWidth="1"/>
    <col min="7441" max="7441" width="11.453125" style="114"/>
    <col min="7442" max="7442" width="12.1796875" style="114" bestFit="1" customWidth="1"/>
    <col min="7443" max="7446" width="11.453125" style="114"/>
    <col min="7447" max="7447" width="11.1796875" style="114" customWidth="1"/>
    <col min="7448" max="7680" width="11.453125" style="114"/>
    <col min="7681" max="7681" width="22.26953125" style="114" customWidth="1"/>
    <col min="7682" max="7682" width="19.81640625" style="114" customWidth="1"/>
    <col min="7683" max="7683" width="20.1796875" style="114" customWidth="1"/>
    <col min="7684" max="7684" width="17" style="114" customWidth="1"/>
    <col min="7685" max="7685" width="17.453125" style="114" customWidth="1"/>
    <col min="7686" max="7686" width="17.7265625" style="114" customWidth="1"/>
    <col min="7687" max="7687" width="11.453125" style="114"/>
    <col min="7688" max="7688" width="2.7265625" style="114" customWidth="1"/>
    <col min="7689" max="7689" width="15.54296875" style="114" customWidth="1"/>
    <col min="7690" max="7690" width="22.54296875" style="114" customWidth="1"/>
    <col min="7691" max="7691" width="19.7265625" style="114" customWidth="1"/>
    <col min="7692" max="7692" width="10.26953125" style="114" bestFit="1" customWidth="1"/>
    <col min="7693" max="7693" width="12.7265625" style="114" bestFit="1" customWidth="1"/>
    <col min="7694" max="7694" width="12.453125" style="114" bestFit="1" customWidth="1"/>
    <col min="7695" max="7695" width="11.453125" style="114"/>
    <col min="7696" max="7696" width="12.1796875" style="114" bestFit="1" customWidth="1"/>
    <col min="7697" max="7697" width="11.453125" style="114"/>
    <col min="7698" max="7698" width="12.1796875" style="114" bestFit="1" customWidth="1"/>
    <col min="7699" max="7702" width="11.453125" style="114"/>
    <col min="7703" max="7703" width="11.1796875" style="114" customWidth="1"/>
    <col min="7704" max="7936" width="11.453125" style="114"/>
    <col min="7937" max="7937" width="22.26953125" style="114" customWidth="1"/>
    <col min="7938" max="7938" width="19.81640625" style="114" customWidth="1"/>
    <col min="7939" max="7939" width="20.1796875" style="114" customWidth="1"/>
    <col min="7940" max="7940" width="17" style="114" customWidth="1"/>
    <col min="7941" max="7941" width="17.453125" style="114" customWidth="1"/>
    <col min="7942" max="7942" width="17.7265625" style="114" customWidth="1"/>
    <col min="7943" max="7943" width="11.453125" style="114"/>
    <col min="7944" max="7944" width="2.7265625" style="114" customWidth="1"/>
    <col min="7945" max="7945" width="15.54296875" style="114" customWidth="1"/>
    <col min="7946" max="7946" width="22.54296875" style="114" customWidth="1"/>
    <col min="7947" max="7947" width="19.7265625" style="114" customWidth="1"/>
    <col min="7948" max="7948" width="10.26953125" style="114" bestFit="1" customWidth="1"/>
    <col min="7949" max="7949" width="12.7265625" style="114" bestFit="1" customWidth="1"/>
    <col min="7950" max="7950" width="12.453125" style="114" bestFit="1" customWidth="1"/>
    <col min="7951" max="7951" width="11.453125" style="114"/>
    <col min="7952" max="7952" width="12.1796875" style="114" bestFit="1" customWidth="1"/>
    <col min="7953" max="7953" width="11.453125" style="114"/>
    <col min="7954" max="7954" width="12.1796875" style="114" bestFit="1" customWidth="1"/>
    <col min="7955" max="7958" width="11.453125" style="114"/>
    <col min="7959" max="7959" width="11.1796875" style="114" customWidth="1"/>
    <col min="7960" max="8192" width="11.453125" style="114"/>
    <col min="8193" max="8193" width="22.26953125" style="114" customWidth="1"/>
    <col min="8194" max="8194" width="19.81640625" style="114" customWidth="1"/>
    <col min="8195" max="8195" width="20.1796875" style="114" customWidth="1"/>
    <col min="8196" max="8196" width="17" style="114" customWidth="1"/>
    <col min="8197" max="8197" width="17.453125" style="114" customWidth="1"/>
    <col min="8198" max="8198" width="17.7265625" style="114" customWidth="1"/>
    <col min="8199" max="8199" width="11.453125" style="114"/>
    <col min="8200" max="8200" width="2.7265625" style="114" customWidth="1"/>
    <col min="8201" max="8201" width="15.54296875" style="114" customWidth="1"/>
    <col min="8202" max="8202" width="22.54296875" style="114" customWidth="1"/>
    <col min="8203" max="8203" width="19.7265625" style="114" customWidth="1"/>
    <col min="8204" max="8204" width="10.26953125" style="114" bestFit="1" customWidth="1"/>
    <col min="8205" max="8205" width="12.7265625" style="114" bestFit="1" customWidth="1"/>
    <col min="8206" max="8206" width="12.453125" style="114" bestFit="1" customWidth="1"/>
    <col min="8207" max="8207" width="11.453125" style="114"/>
    <col min="8208" max="8208" width="12.1796875" style="114" bestFit="1" customWidth="1"/>
    <col min="8209" max="8209" width="11.453125" style="114"/>
    <col min="8210" max="8210" width="12.1796875" style="114" bestFit="1" customWidth="1"/>
    <col min="8211" max="8214" width="11.453125" style="114"/>
    <col min="8215" max="8215" width="11.1796875" style="114" customWidth="1"/>
    <col min="8216" max="8448" width="11.453125" style="114"/>
    <col min="8449" max="8449" width="22.26953125" style="114" customWidth="1"/>
    <col min="8450" max="8450" width="19.81640625" style="114" customWidth="1"/>
    <col min="8451" max="8451" width="20.1796875" style="114" customWidth="1"/>
    <col min="8452" max="8452" width="17" style="114" customWidth="1"/>
    <col min="8453" max="8453" width="17.453125" style="114" customWidth="1"/>
    <col min="8454" max="8454" width="17.7265625" style="114" customWidth="1"/>
    <col min="8455" max="8455" width="11.453125" style="114"/>
    <col min="8456" max="8456" width="2.7265625" style="114" customWidth="1"/>
    <col min="8457" max="8457" width="15.54296875" style="114" customWidth="1"/>
    <col min="8458" max="8458" width="22.54296875" style="114" customWidth="1"/>
    <col min="8459" max="8459" width="19.7265625" style="114" customWidth="1"/>
    <col min="8460" max="8460" width="10.26953125" style="114" bestFit="1" customWidth="1"/>
    <col min="8461" max="8461" width="12.7265625" style="114" bestFit="1" customWidth="1"/>
    <col min="8462" max="8462" width="12.453125" style="114" bestFit="1" customWidth="1"/>
    <col min="8463" max="8463" width="11.453125" style="114"/>
    <col min="8464" max="8464" width="12.1796875" style="114" bestFit="1" customWidth="1"/>
    <col min="8465" max="8465" width="11.453125" style="114"/>
    <col min="8466" max="8466" width="12.1796875" style="114" bestFit="1" customWidth="1"/>
    <col min="8467" max="8470" width="11.453125" style="114"/>
    <col min="8471" max="8471" width="11.1796875" style="114" customWidth="1"/>
    <col min="8472" max="8704" width="11.453125" style="114"/>
    <col min="8705" max="8705" width="22.26953125" style="114" customWidth="1"/>
    <col min="8706" max="8706" width="19.81640625" style="114" customWidth="1"/>
    <col min="8707" max="8707" width="20.1796875" style="114" customWidth="1"/>
    <col min="8708" max="8708" width="17" style="114" customWidth="1"/>
    <col min="8709" max="8709" width="17.453125" style="114" customWidth="1"/>
    <col min="8710" max="8710" width="17.7265625" style="114" customWidth="1"/>
    <col min="8711" max="8711" width="11.453125" style="114"/>
    <col min="8712" max="8712" width="2.7265625" style="114" customWidth="1"/>
    <col min="8713" max="8713" width="15.54296875" style="114" customWidth="1"/>
    <col min="8714" max="8714" width="22.54296875" style="114" customWidth="1"/>
    <col min="8715" max="8715" width="19.7265625" style="114" customWidth="1"/>
    <col min="8716" max="8716" width="10.26953125" style="114" bestFit="1" customWidth="1"/>
    <col min="8717" max="8717" width="12.7265625" style="114" bestFit="1" customWidth="1"/>
    <col min="8718" max="8718" width="12.453125" style="114" bestFit="1" customWidth="1"/>
    <col min="8719" max="8719" width="11.453125" style="114"/>
    <col min="8720" max="8720" width="12.1796875" style="114" bestFit="1" customWidth="1"/>
    <col min="8721" max="8721" width="11.453125" style="114"/>
    <col min="8722" max="8722" width="12.1796875" style="114" bestFit="1" customWidth="1"/>
    <col min="8723" max="8726" width="11.453125" style="114"/>
    <col min="8727" max="8727" width="11.1796875" style="114" customWidth="1"/>
    <col min="8728" max="8960" width="11.453125" style="114"/>
    <col min="8961" max="8961" width="22.26953125" style="114" customWidth="1"/>
    <col min="8962" max="8962" width="19.81640625" style="114" customWidth="1"/>
    <col min="8963" max="8963" width="20.1796875" style="114" customWidth="1"/>
    <col min="8964" max="8964" width="17" style="114" customWidth="1"/>
    <col min="8965" max="8965" width="17.453125" style="114" customWidth="1"/>
    <col min="8966" max="8966" width="17.7265625" style="114" customWidth="1"/>
    <col min="8967" max="8967" width="11.453125" style="114"/>
    <col min="8968" max="8968" width="2.7265625" style="114" customWidth="1"/>
    <col min="8969" max="8969" width="15.54296875" style="114" customWidth="1"/>
    <col min="8970" max="8970" width="22.54296875" style="114" customWidth="1"/>
    <col min="8971" max="8971" width="19.7265625" style="114" customWidth="1"/>
    <col min="8972" max="8972" width="10.26953125" style="114" bestFit="1" customWidth="1"/>
    <col min="8973" max="8973" width="12.7265625" style="114" bestFit="1" customWidth="1"/>
    <col min="8974" max="8974" width="12.453125" style="114" bestFit="1" customWidth="1"/>
    <col min="8975" max="8975" width="11.453125" style="114"/>
    <col min="8976" max="8976" width="12.1796875" style="114" bestFit="1" customWidth="1"/>
    <col min="8977" max="8977" width="11.453125" style="114"/>
    <col min="8978" max="8978" width="12.1796875" style="114" bestFit="1" customWidth="1"/>
    <col min="8979" max="8982" width="11.453125" style="114"/>
    <col min="8983" max="8983" width="11.1796875" style="114" customWidth="1"/>
    <col min="8984" max="9216" width="11.453125" style="114"/>
    <col min="9217" max="9217" width="22.26953125" style="114" customWidth="1"/>
    <col min="9218" max="9218" width="19.81640625" style="114" customWidth="1"/>
    <col min="9219" max="9219" width="20.1796875" style="114" customWidth="1"/>
    <col min="9220" max="9220" width="17" style="114" customWidth="1"/>
    <col min="9221" max="9221" width="17.453125" style="114" customWidth="1"/>
    <col min="9222" max="9222" width="17.7265625" style="114" customWidth="1"/>
    <col min="9223" max="9223" width="11.453125" style="114"/>
    <col min="9224" max="9224" width="2.7265625" style="114" customWidth="1"/>
    <col min="9225" max="9225" width="15.54296875" style="114" customWidth="1"/>
    <col min="9226" max="9226" width="22.54296875" style="114" customWidth="1"/>
    <col min="9227" max="9227" width="19.7265625" style="114" customWidth="1"/>
    <col min="9228" max="9228" width="10.26953125" style="114" bestFit="1" customWidth="1"/>
    <col min="9229" max="9229" width="12.7265625" style="114" bestFit="1" customWidth="1"/>
    <col min="9230" max="9230" width="12.453125" style="114" bestFit="1" customWidth="1"/>
    <col min="9231" max="9231" width="11.453125" style="114"/>
    <col min="9232" max="9232" width="12.1796875" style="114" bestFit="1" customWidth="1"/>
    <col min="9233" max="9233" width="11.453125" style="114"/>
    <col min="9234" max="9234" width="12.1796875" style="114" bestFit="1" customWidth="1"/>
    <col min="9235" max="9238" width="11.453125" style="114"/>
    <col min="9239" max="9239" width="11.1796875" style="114" customWidth="1"/>
    <col min="9240" max="9472" width="11.453125" style="114"/>
    <col min="9473" max="9473" width="22.26953125" style="114" customWidth="1"/>
    <col min="9474" max="9474" width="19.81640625" style="114" customWidth="1"/>
    <col min="9475" max="9475" width="20.1796875" style="114" customWidth="1"/>
    <col min="9476" max="9476" width="17" style="114" customWidth="1"/>
    <col min="9477" max="9477" width="17.453125" style="114" customWidth="1"/>
    <col min="9478" max="9478" width="17.7265625" style="114" customWidth="1"/>
    <col min="9479" max="9479" width="11.453125" style="114"/>
    <col min="9480" max="9480" width="2.7265625" style="114" customWidth="1"/>
    <col min="9481" max="9481" width="15.54296875" style="114" customWidth="1"/>
    <col min="9482" max="9482" width="22.54296875" style="114" customWidth="1"/>
    <col min="9483" max="9483" width="19.7265625" style="114" customWidth="1"/>
    <col min="9484" max="9484" width="10.26953125" style="114" bestFit="1" customWidth="1"/>
    <col min="9485" max="9485" width="12.7265625" style="114" bestFit="1" customWidth="1"/>
    <col min="9486" max="9486" width="12.453125" style="114" bestFit="1" customWidth="1"/>
    <col min="9487" max="9487" width="11.453125" style="114"/>
    <col min="9488" max="9488" width="12.1796875" style="114" bestFit="1" customWidth="1"/>
    <col min="9489" max="9489" width="11.453125" style="114"/>
    <col min="9490" max="9490" width="12.1796875" style="114" bestFit="1" customWidth="1"/>
    <col min="9491" max="9494" width="11.453125" style="114"/>
    <col min="9495" max="9495" width="11.1796875" style="114" customWidth="1"/>
    <col min="9496" max="9728" width="11.453125" style="114"/>
    <col min="9729" max="9729" width="22.26953125" style="114" customWidth="1"/>
    <col min="9730" max="9730" width="19.81640625" style="114" customWidth="1"/>
    <col min="9731" max="9731" width="20.1796875" style="114" customWidth="1"/>
    <col min="9732" max="9732" width="17" style="114" customWidth="1"/>
    <col min="9733" max="9733" width="17.453125" style="114" customWidth="1"/>
    <col min="9734" max="9734" width="17.7265625" style="114" customWidth="1"/>
    <col min="9735" max="9735" width="11.453125" style="114"/>
    <col min="9736" max="9736" width="2.7265625" style="114" customWidth="1"/>
    <col min="9737" max="9737" width="15.54296875" style="114" customWidth="1"/>
    <col min="9738" max="9738" width="22.54296875" style="114" customWidth="1"/>
    <col min="9739" max="9739" width="19.7265625" style="114" customWidth="1"/>
    <col min="9740" max="9740" width="10.26953125" style="114" bestFit="1" customWidth="1"/>
    <col min="9741" max="9741" width="12.7265625" style="114" bestFit="1" customWidth="1"/>
    <col min="9742" max="9742" width="12.453125" style="114" bestFit="1" customWidth="1"/>
    <col min="9743" max="9743" width="11.453125" style="114"/>
    <col min="9744" max="9744" width="12.1796875" style="114" bestFit="1" customWidth="1"/>
    <col min="9745" max="9745" width="11.453125" style="114"/>
    <col min="9746" max="9746" width="12.1796875" style="114" bestFit="1" customWidth="1"/>
    <col min="9747" max="9750" width="11.453125" style="114"/>
    <col min="9751" max="9751" width="11.1796875" style="114" customWidth="1"/>
    <col min="9752" max="9984" width="11.453125" style="114"/>
    <col min="9985" max="9985" width="22.26953125" style="114" customWidth="1"/>
    <col min="9986" max="9986" width="19.81640625" style="114" customWidth="1"/>
    <col min="9987" max="9987" width="20.1796875" style="114" customWidth="1"/>
    <col min="9988" max="9988" width="17" style="114" customWidth="1"/>
    <col min="9989" max="9989" width="17.453125" style="114" customWidth="1"/>
    <col min="9990" max="9990" width="17.7265625" style="114" customWidth="1"/>
    <col min="9991" max="9991" width="11.453125" style="114"/>
    <col min="9992" max="9992" width="2.7265625" style="114" customWidth="1"/>
    <col min="9993" max="9993" width="15.54296875" style="114" customWidth="1"/>
    <col min="9994" max="9994" width="22.54296875" style="114" customWidth="1"/>
    <col min="9995" max="9995" width="19.7265625" style="114" customWidth="1"/>
    <col min="9996" max="9996" width="10.26953125" style="114" bestFit="1" customWidth="1"/>
    <col min="9997" max="9997" width="12.7265625" style="114" bestFit="1" customWidth="1"/>
    <col min="9998" max="9998" width="12.453125" style="114" bestFit="1" customWidth="1"/>
    <col min="9999" max="9999" width="11.453125" style="114"/>
    <col min="10000" max="10000" width="12.1796875" style="114" bestFit="1" customWidth="1"/>
    <col min="10001" max="10001" width="11.453125" style="114"/>
    <col min="10002" max="10002" width="12.1796875" style="114" bestFit="1" customWidth="1"/>
    <col min="10003" max="10006" width="11.453125" style="114"/>
    <col min="10007" max="10007" width="11.1796875" style="114" customWidth="1"/>
    <col min="10008" max="10240" width="11.453125" style="114"/>
    <col min="10241" max="10241" width="22.26953125" style="114" customWidth="1"/>
    <col min="10242" max="10242" width="19.81640625" style="114" customWidth="1"/>
    <col min="10243" max="10243" width="20.1796875" style="114" customWidth="1"/>
    <col min="10244" max="10244" width="17" style="114" customWidth="1"/>
    <col min="10245" max="10245" width="17.453125" style="114" customWidth="1"/>
    <col min="10246" max="10246" width="17.7265625" style="114" customWidth="1"/>
    <col min="10247" max="10247" width="11.453125" style="114"/>
    <col min="10248" max="10248" width="2.7265625" style="114" customWidth="1"/>
    <col min="10249" max="10249" width="15.54296875" style="114" customWidth="1"/>
    <col min="10250" max="10250" width="22.54296875" style="114" customWidth="1"/>
    <col min="10251" max="10251" width="19.7265625" style="114" customWidth="1"/>
    <col min="10252" max="10252" width="10.26953125" style="114" bestFit="1" customWidth="1"/>
    <col min="10253" max="10253" width="12.7265625" style="114" bestFit="1" customWidth="1"/>
    <col min="10254" max="10254" width="12.453125" style="114" bestFit="1" customWidth="1"/>
    <col min="10255" max="10255" width="11.453125" style="114"/>
    <col min="10256" max="10256" width="12.1796875" style="114" bestFit="1" customWidth="1"/>
    <col min="10257" max="10257" width="11.453125" style="114"/>
    <col min="10258" max="10258" width="12.1796875" style="114" bestFit="1" customWidth="1"/>
    <col min="10259" max="10262" width="11.453125" style="114"/>
    <col min="10263" max="10263" width="11.1796875" style="114" customWidth="1"/>
    <col min="10264" max="10496" width="11.453125" style="114"/>
    <col min="10497" max="10497" width="22.26953125" style="114" customWidth="1"/>
    <col min="10498" max="10498" width="19.81640625" style="114" customWidth="1"/>
    <col min="10499" max="10499" width="20.1796875" style="114" customWidth="1"/>
    <col min="10500" max="10500" width="17" style="114" customWidth="1"/>
    <col min="10501" max="10501" width="17.453125" style="114" customWidth="1"/>
    <col min="10502" max="10502" width="17.7265625" style="114" customWidth="1"/>
    <col min="10503" max="10503" width="11.453125" style="114"/>
    <col min="10504" max="10504" width="2.7265625" style="114" customWidth="1"/>
    <col min="10505" max="10505" width="15.54296875" style="114" customWidth="1"/>
    <col min="10506" max="10506" width="22.54296875" style="114" customWidth="1"/>
    <col min="10507" max="10507" width="19.7265625" style="114" customWidth="1"/>
    <col min="10508" max="10508" width="10.26953125" style="114" bestFit="1" customWidth="1"/>
    <col min="10509" max="10509" width="12.7265625" style="114" bestFit="1" customWidth="1"/>
    <col min="10510" max="10510" width="12.453125" style="114" bestFit="1" customWidth="1"/>
    <col min="10511" max="10511" width="11.453125" style="114"/>
    <col min="10512" max="10512" width="12.1796875" style="114" bestFit="1" customWidth="1"/>
    <col min="10513" max="10513" width="11.453125" style="114"/>
    <col min="10514" max="10514" width="12.1796875" style="114" bestFit="1" customWidth="1"/>
    <col min="10515" max="10518" width="11.453125" style="114"/>
    <col min="10519" max="10519" width="11.1796875" style="114" customWidth="1"/>
    <col min="10520" max="10752" width="11.453125" style="114"/>
    <col min="10753" max="10753" width="22.26953125" style="114" customWidth="1"/>
    <col min="10754" max="10754" width="19.81640625" style="114" customWidth="1"/>
    <col min="10755" max="10755" width="20.1796875" style="114" customWidth="1"/>
    <col min="10756" max="10756" width="17" style="114" customWidth="1"/>
    <col min="10757" max="10757" width="17.453125" style="114" customWidth="1"/>
    <col min="10758" max="10758" width="17.7265625" style="114" customWidth="1"/>
    <col min="10759" max="10759" width="11.453125" style="114"/>
    <col min="10760" max="10760" width="2.7265625" style="114" customWidth="1"/>
    <col min="10761" max="10761" width="15.54296875" style="114" customWidth="1"/>
    <col min="10762" max="10762" width="22.54296875" style="114" customWidth="1"/>
    <col min="10763" max="10763" width="19.7265625" style="114" customWidth="1"/>
    <col min="10764" max="10764" width="10.26953125" style="114" bestFit="1" customWidth="1"/>
    <col min="10765" max="10765" width="12.7265625" style="114" bestFit="1" customWidth="1"/>
    <col min="10766" max="10766" width="12.453125" style="114" bestFit="1" customWidth="1"/>
    <col min="10767" max="10767" width="11.453125" style="114"/>
    <col min="10768" max="10768" width="12.1796875" style="114" bestFit="1" customWidth="1"/>
    <col min="10769" max="10769" width="11.453125" style="114"/>
    <col min="10770" max="10770" width="12.1796875" style="114" bestFit="1" customWidth="1"/>
    <col min="10771" max="10774" width="11.453125" style="114"/>
    <col min="10775" max="10775" width="11.1796875" style="114" customWidth="1"/>
    <col min="10776" max="11008" width="11.453125" style="114"/>
    <col min="11009" max="11009" width="22.26953125" style="114" customWidth="1"/>
    <col min="11010" max="11010" width="19.81640625" style="114" customWidth="1"/>
    <col min="11011" max="11011" width="20.1796875" style="114" customWidth="1"/>
    <col min="11012" max="11012" width="17" style="114" customWidth="1"/>
    <col min="11013" max="11013" width="17.453125" style="114" customWidth="1"/>
    <col min="11014" max="11014" width="17.7265625" style="114" customWidth="1"/>
    <col min="11015" max="11015" width="11.453125" style="114"/>
    <col min="11016" max="11016" width="2.7265625" style="114" customWidth="1"/>
    <col min="11017" max="11017" width="15.54296875" style="114" customWidth="1"/>
    <col min="11018" max="11018" width="22.54296875" style="114" customWidth="1"/>
    <col min="11019" max="11019" width="19.7265625" style="114" customWidth="1"/>
    <col min="11020" max="11020" width="10.26953125" style="114" bestFit="1" customWidth="1"/>
    <col min="11021" max="11021" width="12.7265625" style="114" bestFit="1" customWidth="1"/>
    <col min="11022" max="11022" width="12.453125" style="114" bestFit="1" customWidth="1"/>
    <col min="11023" max="11023" width="11.453125" style="114"/>
    <col min="11024" max="11024" width="12.1796875" style="114" bestFit="1" customWidth="1"/>
    <col min="11025" max="11025" width="11.453125" style="114"/>
    <col min="11026" max="11026" width="12.1796875" style="114" bestFit="1" customWidth="1"/>
    <col min="11027" max="11030" width="11.453125" style="114"/>
    <col min="11031" max="11031" width="11.1796875" style="114" customWidth="1"/>
    <col min="11032" max="11264" width="11.453125" style="114"/>
    <col min="11265" max="11265" width="22.26953125" style="114" customWidth="1"/>
    <col min="11266" max="11266" width="19.81640625" style="114" customWidth="1"/>
    <col min="11267" max="11267" width="20.1796875" style="114" customWidth="1"/>
    <col min="11268" max="11268" width="17" style="114" customWidth="1"/>
    <col min="11269" max="11269" width="17.453125" style="114" customWidth="1"/>
    <col min="11270" max="11270" width="17.7265625" style="114" customWidth="1"/>
    <col min="11271" max="11271" width="11.453125" style="114"/>
    <col min="11272" max="11272" width="2.7265625" style="114" customWidth="1"/>
    <col min="11273" max="11273" width="15.54296875" style="114" customWidth="1"/>
    <col min="11274" max="11274" width="22.54296875" style="114" customWidth="1"/>
    <col min="11275" max="11275" width="19.7265625" style="114" customWidth="1"/>
    <col min="11276" max="11276" width="10.26953125" style="114" bestFit="1" customWidth="1"/>
    <col min="11277" max="11277" width="12.7265625" style="114" bestFit="1" customWidth="1"/>
    <col min="11278" max="11278" width="12.453125" style="114" bestFit="1" customWidth="1"/>
    <col min="11279" max="11279" width="11.453125" style="114"/>
    <col min="11280" max="11280" width="12.1796875" style="114" bestFit="1" customWidth="1"/>
    <col min="11281" max="11281" width="11.453125" style="114"/>
    <col min="11282" max="11282" width="12.1796875" style="114" bestFit="1" customWidth="1"/>
    <col min="11283" max="11286" width="11.453125" style="114"/>
    <col min="11287" max="11287" width="11.1796875" style="114" customWidth="1"/>
    <col min="11288" max="11520" width="11.453125" style="114"/>
    <col min="11521" max="11521" width="22.26953125" style="114" customWidth="1"/>
    <col min="11522" max="11522" width="19.81640625" style="114" customWidth="1"/>
    <col min="11523" max="11523" width="20.1796875" style="114" customWidth="1"/>
    <col min="11524" max="11524" width="17" style="114" customWidth="1"/>
    <col min="11525" max="11525" width="17.453125" style="114" customWidth="1"/>
    <col min="11526" max="11526" width="17.7265625" style="114" customWidth="1"/>
    <col min="11527" max="11527" width="11.453125" style="114"/>
    <col min="11528" max="11528" width="2.7265625" style="114" customWidth="1"/>
    <col min="11529" max="11529" width="15.54296875" style="114" customWidth="1"/>
    <col min="11530" max="11530" width="22.54296875" style="114" customWidth="1"/>
    <col min="11531" max="11531" width="19.7265625" style="114" customWidth="1"/>
    <col min="11532" max="11532" width="10.26953125" style="114" bestFit="1" customWidth="1"/>
    <col min="11533" max="11533" width="12.7265625" style="114" bestFit="1" customWidth="1"/>
    <col min="11534" max="11534" width="12.453125" style="114" bestFit="1" customWidth="1"/>
    <col min="11535" max="11535" width="11.453125" style="114"/>
    <col min="11536" max="11536" width="12.1796875" style="114" bestFit="1" customWidth="1"/>
    <col min="11537" max="11537" width="11.453125" style="114"/>
    <col min="11538" max="11538" width="12.1796875" style="114" bestFit="1" customWidth="1"/>
    <col min="11539" max="11542" width="11.453125" style="114"/>
    <col min="11543" max="11543" width="11.1796875" style="114" customWidth="1"/>
    <col min="11544" max="11776" width="11.453125" style="114"/>
    <col min="11777" max="11777" width="22.26953125" style="114" customWidth="1"/>
    <col min="11778" max="11778" width="19.81640625" style="114" customWidth="1"/>
    <col min="11779" max="11779" width="20.1796875" style="114" customWidth="1"/>
    <col min="11780" max="11780" width="17" style="114" customWidth="1"/>
    <col min="11781" max="11781" width="17.453125" style="114" customWidth="1"/>
    <col min="11782" max="11782" width="17.7265625" style="114" customWidth="1"/>
    <col min="11783" max="11783" width="11.453125" style="114"/>
    <col min="11784" max="11784" width="2.7265625" style="114" customWidth="1"/>
    <col min="11785" max="11785" width="15.54296875" style="114" customWidth="1"/>
    <col min="11786" max="11786" width="22.54296875" style="114" customWidth="1"/>
    <col min="11787" max="11787" width="19.7265625" style="114" customWidth="1"/>
    <col min="11788" max="11788" width="10.26953125" style="114" bestFit="1" customWidth="1"/>
    <col min="11789" max="11789" width="12.7265625" style="114" bestFit="1" customWidth="1"/>
    <col min="11790" max="11790" width="12.453125" style="114" bestFit="1" customWidth="1"/>
    <col min="11791" max="11791" width="11.453125" style="114"/>
    <col min="11792" max="11792" width="12.1796875" style="114" bestFit="1" customWidth="1"/>
    <col min="11793" max="11793" width="11.453125" style="114"/>
    <col min="11794" max="11794" width="12.1796875" style="114" bestFit="1" customWidth="1"/>
    <col min="11795" max="11798" width="11.453125" style="114"/>
    <col min="11799" max="11799" width="11.1796875" style="114" customWidth="1"/>
    <col min="11800" max="12032" width="11.453125" style="114"/>
    <col min="12033" max="12033" width="22.26953125" style="114" customWidth="1"/>
    <col min="12034" max="12034" width="19.81640625" style="114" customWidth="1"/>
    <col min="12035" max="12035" width="20.1796875" style="114" customWidth="1"/>
    <col min="12036" max="12036" width="17" style="114" customWidth="1"/>
    <col min="12037" max="12037" width="17.453125" style="114" customWidth="1"/>
    <col min="12038" max="12038" width="17.7265625" style="114" customWidth="1"/>
    <col min="12039" max="12039" width="11.453125" style="114"/>
    <col min="12040" max="12040" width="2.7265625" style="114" customWidth="1"/>
    <col min="12041" max="12041" width="15.54296875" style="114" customWidth="1"/>
    <col min="12042" max="12042" width="22.54296875" style="114" customWidth="1"/>
    <col min="12043" max="12043" width="19.7265625" style="114" customWidth="1"/>
    <col min="12044" max="12044" width="10.26953125" style="114" bestFit="1" customWidth="1"/>
    <col min="12045" max="12045" width="12.7265625" style="114" bestFit="1" customWidth="1"/>
    <col min="12046" max="12046" width="12.453125" style="114" bestFit="1" customWidth="1"/>
    <col min="12047" max="12047" width="11.453125" style="114"/>
    <col min="12048" max="12048" width="12.1796875" style="114" bestFit="1" customWidth="1"/>
    <col min="12049" max="12049" width="11.453125" style="114"/>
    <col min="12050" max="12050" width="12.1796875" style="114" bestFit="1" customWidth="1"/>
    <col min="12051" max="12054" width="11.453125" style="114"/>
    <col min="12055" max="12055" width="11.1796875" style="114" customWidth="1"/>
    <col min="12056" max="12288" width="11.453125" style="114"/>
    <col min="12289" max="12289" width="22.26953125" style="114" customWidth="1"/>
    <col min="12290" max="12290" width="19.81640625" style="114" customWidth="1"/>
    <col min="12291" max="12291" width="20.1796875" style="114" customWidth="1"/>
    <col min="12292" max="12292" width="17" style="114" customWidth="1"/>
    <col min="12293" max="12293" width="17.453125" style="114" customWidth="1"/>
    <col min="12294" max="12294" width="17.7265625" style="114" customWidth="1"/>
    <col min="12295" max="12295" width="11.453125" style="114"/>
    <col min="12296" max="12296" width="2.7265625" style="114" customWidth="1"/>
    <col min="12297" max="12297" width="15.54296875" style="114" customWidth="1"/>
    <col min="12298" max="12298" width="22.54296875" style="114" customWidth="1"/>
    <col min="12299" max="12299" width="19.7265625" style="114" customWidth="1"/>
    <col min="12300" max="12300" width="10.26953125" style="114" bestFit="1" customWidth="1"/>
    <col min="12301" max="12301" width="12.7265625" style="114" bestFit="1" customWidth="1"/>
    <col min="12302" max="12302" width="12.453125" style="114" bestFit="1" customWidth="1"/>
    <col min="12303" max="12303" width="11.453125" style="114"/>
    <col min="12304" max="12304" width="12.1796875" style="114" bestFit="1" customWidth="1"/>
    <col min="12305" max="12305" width="11.453125" style="114"/>
    <col min="12306" max="12306" width="12.1796875" style="114" bestFit="1" customWidth="1"/>
    <col min="12307" max="12310" width="11.453125" style="114"/>
    <col min="12311" max="12311" width="11.1796875" style="114" customWidth="1"/>
    <col min="12312" max="12544" width="11.453125" style="114"/>
    <col min="12545" max="12545" width="22.26953125" style="114" customWidth="1"/>
    <col min="12546" max="12546" width="19.81640625" style="114" customWidth="1"/>
    <col min="12547" max="12547" width="20.1796875" style="114" customWidth="1"/>
    <col min="12548" max="12548" width="17" style="114" customWidth="1"/>
    <col min="12549" max="12549" width="17.453125" style="114" customWidth="1"/>
    <col min="12550" max="12550" width="17.7265625" style="114" customWidth="1"/>
    <col min="12551" max="12551" width="11.453125" style="114"/>
    <col min="12552" max="12552" width="2.7265625" style="114" customWidth="1"/>
    <col min="12553" max="12553" width="15.54296875" style="114" customWidth="1"/>
    <col min="12554" max="12554" width="22.54296875" style="114" customWidth="1"/>
    <col min="12555" max="12555" width="19.7265625" style="114" customWidth="1"/>
    <col min="12556" max="12556" width="10.26953125" style="114" bestFit="1" customWidth="1"/>
    <col min="12557" max="12557" width="12.7265625" style="114" bestFit="1" customWidth="1"/>
    <col min="12558" max="12558" width="12.453125" style="114" bestFit="1" customWidth="1"/>
    <col min="12559" max="12559" width="11.453125" style="114"/>
    <col min="12560" max="12560" width="12.1796875" style="114" bestFit="1" customWidth="1"/>
    <col min="12561" max="12561" width="11.453125" style="114"/>
    <col min="12562" max="12562" width="12.1796875" style="114" bestFit="1" customWidth="1"/>
    <col min="12563" max="12566" width="11.453125" style="114"/>
    <col min="12567" max="12567" width="11.1796875" style="114" customWidth="1"/>
    <col min="12568" max="12800" width="11.453125" style="114"/>
    <col min="12801" max="12801" width="22.26953125" style="114" customWidth="1"/>
    <col min="12802" max="12802" width="19.81640625" style="114" customWidth="1"/>
    <col min="12803" max="12803" width="20.1796875" style="114" customWidth="1"/>
    <col min="12804" max="12804" width="17" style="114" customWidth="1"/>
    <col min="12805" max="12805" width="17.453125" style="114" customWidth="1"/>
    <col min="12806" max="12806" width="17.7265625" style="114" customWidth="1"/>
    <col min="12807" max="12807" width="11.453125" style="114"/>
    <col min="12808" max="12808" width="2.7265625" style="114" customWidth="1"/>
    <col min="12809" max="12809" width="15.54296875" style="114" customWidth="1"/>
    <col min="12810" max="12810" width="22.54296875" style="114" customWidth="1"/>
    <col min="12811" max="12811" width="19.7265625" style="114" customWidth="1"/>
    <col min="12812" max="12812" width="10.26953125" style="114" bestFit="1" customWidth="1"/>
    <col min="12813" max="12813" width="12.7265625" style="114" bestFit="1" customWidth="1"/>
    <col min="12814" max="12814" width="12.453125" style="114" bestFit="1" customWidth="1"/>
    <col min="12815" max="12815" width="11.453125" style="114"/>
    <col min="12816" max="12816" width="12.1796875" style="114" bestFit="1" customWidth="1"/>
    <col min="12817" max="12817" width="11.453125" style="114"/>
    <col min="12818" max="12818" width="12.1796875" style="114" bestFit="1" customWidth="1"/>
    <col min="12819" max="12822" width="11.453125" style="114"/>
    <col min="12823" max="12823" width="11.1796875" style="114" customWidth="1"/>
    <col min="12824" max="13056" width="11.453125" style="114"/>
    <col min="13057" max="13057" width="22.26953125" style="114" customWidth="1"/>
    <col min="13058" max="13058" width="19.81640625" style="114" customWidth="1"/>
    <col min="13059" max="13059" width="20.1796875" style="114" customWidth="1"/>
    <col min="13060" max="13060" width="17" style="114" customWidth="1"/>
    <col min="13061" max="13061" width="17.453125" style="114" customWidth="1"/>
    <col min="13062" max="13062" width="17.7265625" style="114" customWidth="1"/>
    <col min="13063" max="13063" width="11.453125" style="114"/>
    <col min="13064" max="13064" width="2.7265625" style="114" customWidth="1"/>
    <col min="13065" max="13065" width="15.54296875" style="114" customWidth="1"/>
    <col min="13066" max="13066" width="22.54296875" style="114" customWidth="1"/>
    <col min="13067" max="13067" width="19.7265625" style="114" customWidth="1"/>
    <col min="13068" max="13068" width="10.26953125" style="114" bestFit="1" customWidth="1"/>
    <col min="13069" max="13069" width="12.7265625" style="114" bestFit="1" customWidth="1"/>
    <col min="13070" max="13070" width="12.453125" style="114" bestFit="1" customWidth="1"/>
    <col min="13071" max="13071" width="11.453125" style="114"/>
    <col min="13072" max="13072" width="12.1796875" style="114" bestFit="1" customWidth="1"/>
    <col min="13073" max="13073" width="11.453125" style="114"/>
    <col min="13074" max="13074" width="12.1796875" style="114" bestFit="1" customWidth="1"/>
    <col min="13075" max="13078" width="11.453125" style="114"/>
    <col min="13079" max="13079" width="11.1796875" style="114" customWidth="1"/>
    <col min="13080" max="13312" width="11.453125" style="114"/>
    <col min="13313" max="13313" width="22.26953125" style="114" customWidth="1"/>
    <col min="13314" max="13314" width="19.81640625" style="114" customWidth="1"/>
    <col min="13315" max="13315" width="20.1796875" style="114" customWidth="1"/>
    <col min="13316" max="13316" width="17" style="114" customWidth="1"/>
    <col min="13317" max="13317" width="17.453125" style="114" customWidth="1"/>
    <col min="13318" max="13318" width="17.7265625" style="114" customWidth="1"/>
    <col min="13319" max="13319" width="11.453125" style="114"/>
    <col min="13320" max="13320" width="2.7265625" style="114" customWidth="1"/>
    <col min="13321" max="13321" width="15.54296875" style="114" customWidth="1"/>
    <col min="13322" max="13322" width="22.54296875" style="114" customWidth="1"/>
    <col min="13323" max="13323" width="19.7265625" style="114" customWidth="1"/>
    <col min="13324" max="13324" width="10.26953125" style="114" bestFit="1" customWidth="1"/>
    <col min="13325" max="13325" width="12.7265625" style="114" bestFit="1" customWidth="1"/>
    <col min="13326" max="13326" width="12.453125" style="114" bestFit="1" customWidth="1"/>
    <col min="13327" max="13327" width="11.453125" style="114"/>
    <col min="13328" max="13328" width="12.1796875" style="114" bestFit="1" customWidth="1"/>
    <col min="13329" max="13329" width="11.453125" style="114"/>
    <col min="13330" max="13330" width="12.1796875" style="114" bestFit="1" customWidth="1"/>
    <col min="13331" max="13334" width="11.453125" style="114"/>
    <col min="13335" max="13335" width="11.1796875" style="114" customWidth="1"/>
    <col min="13336" max="13568" width="11.453125" style="114"/>
    <col min="13569" max="13569" width="22.26953125" style="114" customWidth="1"/>
    <col min="13570" max="13570" width="19.81640625" style="114" customWidth="1"/>
    <col min="13571" max="13571" width="20.1796875" style="114" customWidth="1"/>
    <col min="13572" max="13572" width="17" style="114" customWidth="1"/>
    <col min="13573" max="13573" width="17.453125" style="114" customWidth="1"/>
    <col min="13574" max="13574" width="17.7265625" style="114" customWidth="1"/>
    <col min="13575" max="13575" width="11.453125" style="114"/>
    <col min="13576" max="13576" width="2.7265625" style="114" customWidth="1"/>
    <col min="13577" max="13577" width="15.54296875" style="114" customWidth="1"/>
    <col min="13578" max="13578" width="22.54296875" style="114" customWidth="1"/>
    <col min="13579" max="13579" width="19.7265625" style="114" customWidth="1"/>
    <col min="13580" max="13580" width="10.26953125" style="114" bestFit="1" customWidth="1"/>
    <col min="13581" max="13581" width="12.7265625" style="114" bestFit="1" customWidth="1"/>
    <col min="13582" max="13582" width="12.453125" style="114" bestFit="1" customWidth="1"/>
    <col min="13583" max="13583" width="11.453125" style="114"/>
    <col min="13584" max="13584" width="12.1796875" style="114" bestFit="1" customWidth="1"/>
    <col min="13585" max="13585" width="11.453125" style="114"/>
    <col min="13586" max="13586" width="12.1796875" style="114" bestFit="1" customWidth="1"/>
    <col min="13587" max="13590" width="11.453125" style="114"/>
    <col min="13591" max="13591" width="11.1796875" style="114" customWidth="1"/>
    <col min="13592" max="13824" width="11.453125" style="114"/>
    <col min="13825" max="13825" width="22.26953125" style="114" customWidth="1"/>
    <col min="13826" max="13826" width="19.81640625" style="114" customWidth="1"/>
    <col min="13827" max="13827" width="20.1796875" style="114" customWidth="1"/>
    <col min="13828" max="13828" width="17" style="114" customWidth="1"/>
    <col min="13829" max="13829" width="17.453125" style="114" customWidth="1"/>
    <col min="13830" max="13830" width="17.7265625" style="114" customWidth="1"/>
    <col min="13831" max="13831" width="11.453125" style="114"/>
    <col min="13832" max="13832" width="2.7265625" style="114" customWidth="1"/>
    <col min="13833" max="13833" width="15.54296875" style="114" customWidth="1"/>
    <col min="13834" max="13834" width="22.54296875" style="114" customWidth="1"/>
    <col min="13835" max="13835" width="19.7265625" style="114" customWidth="1"/>
    <col min="13836" max="13836" width="10.26953125" style="114" bestFit="1" customWidth="1"/>
    <col min="13837" max="13837" width="12.7265625" style="114" bestFit="1" customWidth="1"/>
    <col min="13838" max="13838" width="12.453125" style="114" bestFit="1" customWidth="1"/>
    <col min="13839" max="13839" width="11.453125" style="114"/>
    <col min="13840" max="13840" width="12.1796875" style="114" bestFit="1" customWidth="1"/>
    <col min="13841" max="13841" width="11.453125" style="114"/>
    <col min="13842" max="13842" width="12.1796875" style="114" bestFit="1" customWidth="1"/>
    <col min="13843" max="13846" width="11.453125" style="114"/>
    <col min="13847" max="13847" width="11.1796875" style="114" customWidth="1"/>
    <col min="13848" max="14080" width="11.453125" style="114"/>
    <col min="14081" max="14081" width="22.26953125" style="114" customWidth="1"/>
    <col min="14082" max="14082" width="19.81640625" style="114" customWidth="1"/>
    <col min="14083" max="14083" width="20.1796875" style="114" customWidth="1"/>
    <col min="14084" max="14084" width="17" style="114" customWidth="1"/>
    <col min="14085" max="14085" width="17.453125" style="114" customWidth="1"/>
    <col min="14086" max="14086" width="17.7265625" style="114" customWidth="1"/>
    <col min="14087" max="14087" width="11.453125" style="114"/>
    <col min="14088" max="14088" width="2.7265625" style="114" customWidth="1"/>
    <col min="14089" max="14089" width="15.54296875" style="114" customWidth="1"/>
    <col min="14090" max="14090" width="22.54296875" style="114" customWidth="1"/>
    <col min="14091" max="14091" width="19.7265625" style="114" customWidth="1"/>
    <col min="14092" max="14092" width="10.26953125" style="114" bestFit="1" customWidth="1"/>
    <col min="14093" max="14093" width="12.7265625" style="114" bestFit="1" customWidth="1"/>
    <col min="14094" max="14094" width="12.453125" style="114" bestFit="1" customWidth="1"/>
    <col min="14095" max="14095" width="11.453125" style="114"/>
    <col min="14096" max="14096" width="12.1796875" style="114" bestFit="1" customWidth="1"/>
    <col min="14097" max="14097" width="11.453125" style="114"/>
    <col min="14098" max="14098" width="12.1796875" style="114" bestFit="1" customWidth="1"/>
    <col min="14099" max="14102" width="11.453125" style="114"/>
    <col min="14103" max="14103" width="11.1796875" style="114" customWidth="1"/>
    <col min="14104" max="14336" width="11.453125" style="114"/>
    <col min="14337" max="14337" width="22.26953125" style="114" customWidth="1"/>
    <col min="14338" max="14338" width="19.81640625" style="114" customWidth="1"/>
    <col min="14339" max="14339" width="20.1796875" style="114" customWidth="1"/>
    <col min="14340" max="14340" width="17" style="114" customWidth="1"/>
    <col min="14341" max="14341" width="17.453125" style="114" customWidth="1"/>
    <col min="14342" max="14342" width="17.7265625" style="114" customWidth="1"/>
    <col min="14343" max="14343" width="11.453125" style="114"/>
    <col min="14344" max="14344" width="2.7265625" style="114" customWidth="1"/>
    <col min="14345" max="14345" width="15.54296875" style="114" customWidth="1"/>
    <col min="14346" max="14346" width="22.54296875" style="114" customWidth="1"/>
    <col min="14347" max="14347" width="19.7265625" style="114" customWidth="1"/>
    <col min="14348" max="14348" width="10.26953125" style="114" bestFit="1" customWidth="1"/>
    <col min="14349" max="14349" width="12.7265625" style="114" bestFit="1" customWidth="1"/>
    <col min="14350" max="14350" width="12.453125" style="114" bestFit="1" customWidth="1"/>
    <col min="14351" max="14351" width="11.453125" style="114"/>
    <col min="14352" max="14352" width="12.1796875" style="114" bestFit="1" customWidth="1"/>
    <col min="14353" max="14353" width="11.453125" style="114"/>
    <col min="14354" max="14354" width="12.1796875" style="114" bestFit="1" customWidth="1"/>
    <col min="14355" max="14358" width="11.453125" style="114"/>
    <col min="14359" max="14359" width="11.1796875" style="114" customWidth="1"/>
    <col min="14360" max="14592" width="11.453125" style="114"/>
    <col min="14593" max="14593" width="22.26953125" style="114" customWidth="1"/>
    <col min="14594" max="14594" width="19.81640625" style="114" customWidth="1"/>
    <col min="14595" max="14595" width="20.1796875" style="114" customWidth="1"/>
    <col min="14596" max="14596" width="17" style="114" customWidth="1"/>
    <col min="14597" max="14597" width="17.453125" style="114" customWidth="1"/>
    <col min="14598" max="14598" width="17.7265625" style="114" customWidth="1"/>
    <col min="14599" max="14599" width="11.453125" style="114"/>
    <col min="14600" max="14600" width="2.7265625" style="114" customWidth="1"/>
    <col min="14601" max="14601" width="15.54296875" style="114" customWidth="1"/>
    <col min="14602" max="14602" width="22.54296875" style="114" customWidth="1"/>
    <col min="14603" max="14603" width="19.7265625" style="114" customWidth="1"/>
    <col min="14604" max="14604" width="10.26953125" style="114" bestFit="1" customWidth="1"/>
    <col min="14605" max="14605" width="12.7265625" style="114" bestFit="1" customWidth="1"/>
    <col min="14606" max="14606" width="12.453125" style="114" bestFit="1" customWidth="1"/>
    <col min="14607" max="14607" width="11.453125" style="114"/>
    <col min="14608" max="14608" width="12.1796875" style="114" bestFit="1" customWidth="1"/>
    <col min="14609" max="14609" width="11.453125" style="114"/>
    <col min="14610" max="14610" width="12.1796875" style="114" bestFit="1" customWidth="1"/>
    <col min="14611" max="14614" width="11.453125" style="114"/>
    <col min="14615" max="14615" width="11.1796875" style="114" customWidth="1"/>
    <col min="14616" max="14848" width="11.453125" style="114"/>
    <col min="14849" max="14849" width="22.26953125" style="114" customWidth="1"/>
    <col min="14850" max="14850" width="19.81640625" style="114" customWidth="1"/>
    <col min="14851" max="14851" width="20.1796875" style="114" customWidth="1"/>
    <col min="14852" max="14852" width="17" style="114" customWidth="1"/>
    <col min="14853" max="14853" width="17.453125" style="114" customWidth="1"/>
    <col min="14854" max="14854" width="17.7265625" style="114" customWidth="1"/>
    <col min="14855" max="14855" width="11.453125" style="114"/>
    <col min="14856" max="14856" width="2.7265625" style="114" customWidth="1"/>
    <col min="14857" max="14857" width="15.54296875" style="114" customWidth="1"/>
    <col min="14858" max="14858" width="22.54296875" style="114" customWidth="1"/>
    <col min="14859" max="14859" width="19.7265625" style="114" customWidth="1"/>
    <col min="14860" max="14860" width="10.26953125" style="114" bestFit="1" customWidth="1"/>
    <col min="14861" max="14861" width="12.7265625" style="114" bestFit="1" customWidth="1"/>
    <col min="14862" max="14862" width="12.453125" style="114" bestFit="1" customWidth="1"/>
    <col min="14863" max="14863" width="11.453125" style="114"/>
    <col min="14864" max="14864" width="12.1796875" style="114" bestFit="1" customWidth="1"/>
    <col min="14865" max="14865" width="11.453125" style="114"/>
    <col min="14866" max="14866" width="12.1796875" style="114" bestFit="1" customWidth="1"/>
    <col min="14867" max="14870" width="11.453125" style="114"/>
    <col min="14871" max="14871" width="11.1796875" style="114" customWidth="1"/>
    <col min="14872" max="15104" width="11.453125" style="114"/>
    <col min="15105" max="15105" width="22.26953125" style="114" customWidth="1"/>
    <col min="15106" max="15106" width="19.81640625" style="114" customWidth="1"/>
    <col min="15107" max="15107" width="20.1796875" style="114" customWidth="1"/>
    <col min="15108" max="15108" width="17" style="114" customWidth="1"/>
    <col min="15109" max="15109" width="17.453125" style="114" customWidth="1"/>
    <col min="15110" max="15110" width="17.7265625" style="114" customWidth="1"/>
    <col min="15111" max="15111" width="11.453125" style="114"/>
    <col min="15112" max="15112" width="2.7265625" style="114" customWidth="1"/>
    <col min="15113" max="15113" width="15.54296875" style="114" customWidth="1"/>
    <col min="15114" max="15114" width="22.54296875" style="114" customWidth="1"/>
    <col min="15115" max="15115" width="19.7265625" style="114" customWidth="1"/>
    <col min="15116" max="15116" width="10.26953125" style="114" bestFit="1" customWidth="1"/>
    <col min="15117" max="15117" width="12.7265625" style="114" bestFit="1" customWidth="1"/>
    <col min="15118" max="15118" width="12.453125" style="114" bestFit="1" customWidth="1"/>
    <col min="15119" max="15119" width="11.453125" style="114"/>
    <col min="15120" max="15120" width="12.1796875" style="114" bestFit="1" customWidth="1"/>
    <col min="15121" max="15121" width="11.453125" style="114"/>
    <col min="15122" max="15122" width="12.1796875" style="114" bestFit="1" customWidth="1"/>
    <col min="15123" max="15126" width="11.453125" style="114"/>
    <col min="15127" max="15127" width="11.1796875" style="114" customWidth="1"/>
    <col min="15128" max="15360" width="11.453125" style="114"/>
    <col min="15361" max="15361" width="22.26953125" style="114" customWidth="1"/>
    <col min="15362" max="15362" width="19.81640625" style="114" customWidth="1"/>
    <col min="15363" max="15363" width="20.1796875" style="114" customWidth="1"/>
    <col min="15364" max="15364" width="17" style="114" customWidth="1"/>
    <col min="15365" max="15365" width="17.453125" style="114" customWidth="1"/>
    <col min="15366" max="15366" width="17.7265625" style="114" customWidth="1"/>
    <col min="15367" max="15367" width="11.453125" style="114"/>
    <col min="15368" max="15368" width="2.7265625" style="114" customWidth="1"/>
    <col min="15369" max="15369" width="15.54296875" style="114" customWidth="1"/>
    <col min="15370" max="15370" width="22.54296875" style="114" customWidth="1"/>
    <col min="15371" max="15371" width="19.7265625" style="114" customWidth="1"/>
    <col min="15372" max="15372" width="10.26953125" style="114" bestFit="1" customWidth="1"/>
    <col min="15373" max="15373" width="12.7265625" style="114" bestFit="1" customWidth="1"/>
    <col min="15374" max="15374" width="12.453125" style="114" bestFit="1" customWidth="1"/>
    <col min="15375" max="15375" width="11.453125" style="114"/>
    <col min="15376" max="15376" width="12.1796875" style="114" bestFit="1" customWidth="1"/>
    <col min="15377" max="15377" width="11.453125" style="114"/>
    <col min="15378" max="15378" width="12.1796875" style="114" bestFit="1" customWidth="1"/>
    <col min="15379" max="15382" width="11.453125" style="114"/>
    <col min="15383" max="15383" width="11.1796875" style="114" customWidth="1"/>
    <col min="15384" max="15616" width="11.453125" style="114"/>
    <col min="15617" max="15617" width="22.26953125" style="114" customWidth="1"/>
    <col min="15618" max="15618" width="19.81640625" style="114" customWidth="1"/>
    <col min="15619" max="15619" width="20.1796875" style="114" customWidth="1"/>
    <col min="15620" max="15620" width="17" style="114" customWidth="1"/>
    <col min="15621" max="15621" width="17.453125" style="114" customWidth="1"/>
    <col min="15622" max="15622" width="17.7265625" style="114" customWidth="1"/>
    <col min="15623" max="15623" width="11.453125" style="114"/>
    <col min="15624" max="15624" width="2.7265625" style="114" customWidth="1"/>
    <col min="15625" max="15625" width="15.54296875" style="114" customWidth="1"/>
    <col min="15626" max="15626" width="22.54296875" style="114" customWidth="1"/>
    <col min="15627" max="15627" width="19.7265625" style="114" customWidth="1"/>
    <col min="15628" max="15628" width="10.26953125" style="114" bestFit="1" customWidth="1"/>
    <col min="15629" max="15629" width="12.7265625" style="114" bestFit="1" customWidth="1"/>
    <col min="15630" max="15630" width="12.453125" style="114" bestFit="1" customWidth="1"/>
    <col min="15631" max="15631" width="11.453125" style="114"/>
    <col min="15632" max="15632" width="12.1796875" style="114" bestFit="1" customWidth="1"/>
    <col min="15633" max="15633" width="11.453125" style="114"/>
    <col min="15634" max="15634" width="12.1796875" style="114" bestFit="1" customWidth="1"/>
    <col min="15635" max="15638" width="11.453125" style="114"/>
    <col min="15639" max="15639" width="11.1796875" style="114" customWidth="1"/>
    <col min="15640" max="15872" width="11.453125" style="114"/>
    <col min="15873" max="15873" width="22.26953125" style="114" customWidth="1"/>
    <col min="15874" max="15874" width="19.81640625" style="114" customWidth="1"/>
    <col min="15875" max="15875" width="20.1796875" style="114" customWidth="1"/>
    <col min="15876" max="15876" width="17" style="114" customWidth="1"/>
    <col min="15877" max="15877" width="17.453125" style="114" customWidth="1"/>
    <col min="15878" max="15878" width="17.7265625" style="114" customWidth="1"/>
    <col min="15879" max="15879" width="11.453125" style="114"/>
    <col min="15880" max="15880" width="2.7265625" style="114" customWidth="1"/>
    <col min="15881" max="15881" width="15.54296875" style="114" customWidth="1"/>
    <col min="15882" max="15882" width="22.54296875" style="114" customWidth="1"/>
    <col min="15883" max="15883" width="19.7265625" style="114" customWidth="1"/>
    <col min="15884" max="15884" width="10.26953125" style="114" bestFit="1" customWidth="1"/>
    <col min="15885" max="15885" width="12.7265625" style="114" bestFit="1" customWidth="1"/>
    <col min="15886" max="15886" width="12.453125" style="114" bestFit="1" customWidth="1"/>
    <col min="15887" max="15887" width="11.453125" style="114"/>
    <col min="15888" max="15888" width="12.1796875" style="114" bestFit="1" customWidth="1"/>
    <col min="15889" max="15889" width="11.453125" style="114"/>
    <col min="15890" max="15890" width="12.1796875" style="114" bestFit="1" customWidth="1"/>
    <col min="15891" max="15894" width="11.453125" style="114"/>
    <col min="15895" max="15895" width="11.1796875" style="114" customWidth="1"/>
    <col min="15896" max="16128" width="11.453125" style="114"/>
    <col min="16129" max="16129" width="22.26953125" style="114" customWidth="1"/>
    <col min="16130" max="16130" width="19.81640625" style="114" customWidth="1"/>
    <col min="16131" max="16131" width="20.1796875" style="114" customWidth="1"/>
    <col min="16132" max="16132" width="17" style="114" customWidth="1"/>
    <col min="16133" max="16133" width="17.453125" style="114" customWidth="1"/>
    <col min="16134" max="16134" width="17.7265625" style="114" customWidth="1"/>
    <col min="16135" max="16135" width="11.453125" style="114"/>
    <col min="16136" max="16136" width="2.7265625" style="114" customWidth="1"/>
    <col min="16137" max="16137" width="15.54296875" style="114" customWidth="1"/>
    <col min="16138" max="16138" width="22.54296875" style="114" customWidth="1"/>
    <col min="16139" max="16139" width="19.7265625" style="114" customWidth="1"/>
    <col min="16140" max="16140" width="10.26953125" style="114" bestFit="1" customWidth="1"/>
    <col min="16141" max="16141" width="12.7265625" style="114" bestFit="1" customWidth="1"/>
    <col min="16142" max="16142" width="12.453125" style="114" bestFit="1" customWidth="1"/>
    <col min="16143" max="16143" width="11.453125" style="114"/>
    <col min="16144" max="16144" width="12.1796875" style="114" bestFit="1" customWidth="1"/>
    <col min="16145" max="16145" width="11.453125" style="114"/>
    <col min="16146" max="16146" width="12.1796875" style="114" bestFit="1" customWidth="1"/>
    <col min="16147" max="16150" width="11.453125" style="114"/>
    <col min="16151" max="16151" width="11.1796875" style="114" customWidth="1"/>
    <col min="16152" max="16384" width="11.453125" style="114"/>
  </cols>
  <sheetData>
    <row r="1" spans="1:256" ht="7.5" customHeight="1" thickBot="1"/>
    <row r="2" spans="1:256" ht="26.25" customHeight="1" thickBot="1">
      <c r="A2" s="715" t="s">
        <v>136</v>
      </c>
      <c r="B2" s="716"/>
      <c r="C2" s="716"/>
      <c r="D2" s="716"/>
      <c r="E2" s="716"/>
      <c r="F2" s="717"/>
      <c r="G2" s="263"/>
      <c r="H2" s="264"/>
      <c r="I2" s="265"/>
      <c r="J2" s="266"/>
      <c r="K2" s="267"/>
      <c r="L2" s="267"/>
      <c r="M2" s="268"/>
      <c r="N2" s="269"/>
      <c r="O2" s="269"/>
      <c r="P2" s="270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</row>
    <row r="3" spans="1:256" ht="30" customHeight="1">
      <c r="A3" s="718" t="s">
        <v>137</v>
      </c>
      <c r="B3" s="718"/>
      <c r="C3" s="718"/>
      <c r="D3" s="718"/>
      <c r="E3" s="718"/>
      <c r="F3" s="718"/>
      <c r="I3" s="263"/>
      <c r="J3" s="266"/>
      <c r="K3" s="267"/>
      <c r="L3" s="267"/>
      <c r="M3" s="268"/>
      <c r="O3" s="271"/>
      <c r="P3" s="272"/>
      <c r="Q3" s="271"/>
      <c r="R3" s="271"/>
      <c r="S3" s="271"/>
      <c r="T3" s="271"/>
      <c r="U3" s="271"/>
      <c r="V3" s="271"/>
    </row>
    <row r="4" spans="1:256">
      <c r="A4" s="273"/>
      <c r="B4" s="274"/>
      <c r="C4" s="274"/>
      <c r="D4" s="274"/>
      <c r="E4" s="274"/>
      <c r="F4" s="274"/>
      <c r="G4" s="275"/>
      <c r="H4" s="276"/>
      <c r="I4" s="263"/>
      <c r="J4" s="277"/>
      <c r="K4" s="278"/>
      <c r="L4" s="279"/>
      <c r="O4" s="279"/>
      <c r="P4" s="279"/>
      <c r="S4" s="280"/>
      <c r="U4" s="280"/>
      <c r="V4" s="280"/>
      <c r="X4" s="280"/>
      <c r="Y4" s="281"/>
    </row>
    <row r="5" spans="1:256" ht="26">
      <c r="A5" s="282"/>
      <c r="B5" s="283"/>
      <c r="C5" s="126" t="s">
        <v>138</v>
      </c>
      <c r="D5" s="126" t="s">
        <v>139</v>
      </c>
      <c r="E5" s="126" t="s">
        <v>11</v>
      </c>
      <c r="F5" s="284"/>
      <c r="G5" s="277"/>
      <c r="H5" s="277"/>
      <c r="I5" s="263"/>
      <c r="J5" s="277"/>
      <c r="K5" s="277"/>
      <c r="L5" s="285"/>
      <c r="M5" s="285"/>
      <c r="N5" s="286"/>
      <c r="O5" s="286"/>
      <c r="P5" s="286"/>
      <c r="Q5" s="286"/>
      <c r="R5" s="286"/>
      <c r="S5" s="287"/>
      <c r="T5" s="14"/>
      <c r="U5" s="287"/>
      <c r="V5" s="287"/>
      <c r="W5" s="14"/>
      <c r="X5" s="287"/>
      <c r="Y5" s="288"/>
      <c r="Z5" s="14"/>
      <c r="AA5" s="14"/>
      <c r="AB5" s="1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>
      <c r="A6" s="1"/>
      <c r="B6" s="289" t="s">
        <v>84</v>
      </c>
      <c r="C6" s="290">
        <f>B64</f>
        <v>148</v>
      </c>
      <c r="D6" s="291">
        <f>E6-C6</f>
        <v>3156</v>
      </c>
      <c r="E6" s="292">
        <f>D64</f>
        <v>3304</v>
      </c>
      <c r="F6" s="285"/>
      <c r="G6" s="277"/>
      <c r="H6" s="277"/>
      <c r="I6" s="277"/>
      <c r="J6" s="277"/>
      <c r="K6" s="277"/>
      <c r="L6" s="277"/>
      <c r="M6" s="286"/>
      <c r="N6" s="286"/>
      <c r="O6" s="286"/>
      <c r="P6" s="286"/>
      <c r="Q6" s="286"/>
      <c r="R6" s="286"/>
      <c r="S6" s="287"/>
      <c r="T6" s="14"/>
      <c r="U6" s="287"/>
      <c r="V6" s="287"/>
      <c r="W6" s="14"/>
      <c r="X6" s="287"/>
      <c r="Y6" s="14"/>
      <c r="Z6" s="14"/>
      <c r="AA6" s="14"/>
      <c r="AB6" s="1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>
      <c r="A7" s="97"/>
      <c r="B7" s="289" t="s">
        <v>85</v>
      </c>
      <c r="C7" s="290">
        <f>E64</f>
        <v>167</v>
      </c>
      <c r="D7" s="291">
        <f>E7-C7</f>
        <v>3138</v>
      </c>
      <c r="E7" s="292">
        <f>G64</f>
        <v>3305</v>
      </c>
      <c r="F7" s="285"/>
      <c r="G7" s="285"/>
      <c r="H7" s="277"/>
      <c r="I7" s="277"/>
      <c r="J7" s="277"/>
      <c r="K7" s="277"/>
      <c r="L7" s="277"/>
      <c r="M7" s="286"/>
      <c r="N7" s="286"/>
      <c r="O7" s="286"/>
      <c r="P7" s="286"/>
      <c r="Q7" s="286"/>
      <c r="R7" s="286"/>
      <c r="S7" s="287"/>
      <c r="T7" s="14"/>
      <c r="U7" s="287"/>
      <c r="V7" s="287"/>
      <c r="W7" s="14"/>
      <c r="X7" s="287"/>
      <c r="Y7" s="14"/>
      <c r="Z7" s="14"/>
      <c r="AA7" s="14"/>
      <c r="AB7" s="1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>
      <c r="A8" s="1"/>
      <c r="B8" s="293" t="s">
        <v>11</v>
      </c>
      <c r="C8" s="294">
        <f>SUM(C6:C7)</f>
        <v>315</v>
      </c>
      <c r="D8" s="294">
        <f>SUM(D6:D7)</f>
        <v>6294</v>
      </c>
      <c r="E8" s="294">
        <f>SUM(E6:E7)</f>
        <v>6609</v>
      </c>
      <c r="F8" s="285"/>
      <c r="G8" s="277"/>
      <c r="H8" s="277"/>
      <c r="I8" s="277"/>
      <c r="J8" s="277"/>
      <c r="K8" s="277"/>
      <c r="L8" s="277"/>
      <c r="M8" s="285"/>
      <c r="N8" s="286"/>
      <c r="O8" s="286"/>
      <c r="P8" s="286"/>
      <c r="Q8" s="286"/>
      <c r="R8" s="286"/>
      <c r="S8" s="287"/>
      <c r="T8" s="14"/>
      <c r="U8" s="287"/>
      <c r="V8" s="287"/>
      <c r="W8" s="14"/>
      <c r="X8" s="287"/>
      <c r="Y8" s="14"/>
      <c r="Z8" s="14"/>
      <c r="AA8" s="14"/>
      <c r="AB8" s="1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"/>
      <c r="B9" s="295"/>
      <c r="C9" s="296"/>
      <c r="D9" s="108"/>
      <c r="E9" s="108"/>
      <c r="F9" s="1"/>
      <c r="G9" s="108"/>
      <c r="H9" s="111"/>
      <c r="I9" s="111"/>
      <c r="J9" s="111"/>
      <c r="K9" s="1"/>
      <c r="L9" s="43"/>
      <c r="M9" s="1"/>
      <c r="N9" s="1"/>
      <c r="O9" s="138"/>
      <c r="P9" s="297"/>
      <c r="Q9" s="297"/>
      <c r="R9" s="297"/>
      <c r="S9" s="298"/>
      <c r="T9" s="1"/>
      <c r="U9" s="298"/>
      <c r="V9" s="298"/>
      <c r="W9" s="1"/>
      <c r="X9" s="29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idden="1">
      <c r="A10" s="76" t="s">
        <v>140</v>
      </c>
      <c r="B10" s="20"/>
      <c r="C10" s="108"/>
      <c r="D10" s="111"/>
      <c r="E10" s="43"/>
      <c r="F10" s="10"/>
      <c r="G10" s="43"/>
      <c r="H10" s="117"/>
      <c r="I10" s="43"/>
      <c r="J10" s="1"/>
      <c r="K10" s="1"/>
      <c r="L10" s="10"/>
      <c r="M10" s="1"/>
      <c r="N10" s="1"/>
      <c r="O10" s="111"/>
      <c r="P10" s="299"/>
      <c r="Q10" s="299"/>
      <c r="R10" s="299"/>
      <c r="S10" s="111"/>
      <c r="T10" s="111"/>
      <c r="U10" s="111"/>
      <c r="V10" s="11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idden="1">
      <c r="A11" s="1" t="s">
        <v>141</v>
      </c>
      <c r="B11" s="20"/>
      <c r="C11" s="108"/>
      <c r="D11" s="111"/>
      <c r="E11" s="43"/>
      <c r="F11" s="10"/>
      <c r="G11" s="43"/>
      <c r="H11" s="117"/>
      <c r="I11" s="43"/>
      <c r="J11" s="300"/>
      <c r="K11" s="1"/>
      <c r="L11" s="1"/>
      <c r="M11" s="1"/>
      <c r="N11" s="1"/>
      <c r="O11" s="111"/>
      <c r="P11" s="301"/>
      <c r="Q11" s="301"/>
      <c r="R11" s="301"/>
      <c r="S11" s="111"/>
      <c r="T11" s="111"/>
      <c r="U11" s="111"/>
      <c r="V11" s="11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0" hidden="1">
      <c r="A12" s="126" t="s">
        <v>142</v>
      </c>
      <c r="B12" s="126" t="s">
        <v>143</v>
      </c>
      <c r="C12" s="126" t="s">
        <v>144</v>
      </c>
      <c r="D12" s="126" t="s">
        <v>145</v>
      </c>
      <c r="E12" s="126" t="s">
        <v>146</v>
      </c>
      <c r="F12" s="126" t="s">
        <v>147</v>
      </c>
      <c r="G12" s="126" t="s">
        <v>148</v>
      </c>
      <c r="H12" s="126" t="s">
        <v>149</v>
      </c>
      <c r="I12" s="43"/>
      <c r="J12" s="302" t="s">
        <v>150</v>
      </c>
      <c r="K12" s="303" t="s">
        <v>148</v>
      </c>
      <c r="L12" s="303" t="s">
        <v>149</v>
      </c>
      <c r="M12" s="1"/>
      <c r="N12" s="1"/>
      <c r="O12" s="111"/>
      <c r="P12" s="111"/>
      <c r="Q12" s="111"/>
      <c r="R12" s="111"/>
      <c r="S12" s="111"/>
      <c r="T12" s="111"/>
      <c r="U12" s="111"/>
      <c r="V12" s="11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idden="1">
      <c r="A13" s="36">
        <f>LN((C6/E6)/(C7/E7))</f>
        <v>-0.12047892100772202</v>
      </c>
      <c r="B13" s="36">
        <f>SQRT((D6/(C6*E6)+(D7/(C7*E7))))</f>
        <v>0.11017960523517482</v>
      </c>
      <c r="C13" s="304">
        <f>-NORMSINV(2.5/100)</f>
        <v>1.9599639845400538</v>
      </c>
      <c r="D13" s="304">
        <f>A13-(C13*B13)</f>
        <v>-0.33642697909950542</v>
      </c>
      <c r="E13" s="305">
        <f>A13+(C13*B13)</f>
        <v>9.5469137084061392E-2</v>
      </c>
      <c r="F13" s="306">
        <f>(C6/E6)/(C7/E7)</f>
        <v>0.88649577358599996</v>
      </c>
      <c r="G13" s="307">
        <f>EXP(D13)</f>
        <v>0.71431804181846048</v>
      </c>
      <c r="H13" s="308">
        <f>EXP(E13)</f>
        <v>1.1001748669055258</v>
      </c>
      <c r="I13" s="43"/>
      <c r="J13" s="63">
        <f>1-F13</f>
        <v>0.11350422641400004</v>
      </c>
      <c r="K13" s="63">
        <f>1-G13</f>
        <v>0.28568195818153952</v>
      </c>
      <c r="L13" s="63">
        <f>1-H13</f>
        <v>-0.10017486690552579</v>
      </c>
      <c r="M13" s="309"/>
      <c r="N13" s="1"/>
      <c r="O13" s="111"/>
      <c r="P13" s="111"/>
      <c r="Q13" s="111"/>
      <c r="R13" s="111"/>
      <c r="S13" s="111"/>
      <c r="T13" s="111"/>
      <c r="U13" s="111"/>
      <c r="V13" s="11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idden="1">
      <c r="A14" s="1"/>
      <c r="B14" s="20"/>
      <c r="C14" s="310"/>
      <c r="D14" s="311"/>
      <c r="E14" s="312"/>
      <c r="F14" s="313"/>
      <c r="G14" s="312"/>
      <c r="H14" s="314"/>
      <c r="I14" s="43"/>
      <c r="J14" s="10"/>
      <c r="K14" s="10"/>
      <c r="L14" s="10"/>
      <c r="M14" s="1"/>
      <c r="N14" s="1"/>
      <c r="O14" s="111"/>
      <c r="P14" s="111"/>
      <c r="Q14" s="111"/>
      <c r="R14" s="111"/>
      <c r="S14" s="111"/>
      <c r="T14" s="111"/>
      <c r="U14" s="111"/>
      <c r="V14" s="11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idden="1">
      <c r="A15" s="1"/>
      <c r="B15" s="20"/>
      <c r="C15" s="315"/>
      <c r="D15" s="316"/>
      <c r="E15" s="317"/>
      <c r="F15" s="318"/>
      <c r="G15" s="319"/>
      <c r="H15" s="320"/>
      <c r="I15" s="321"/>
      <c r="J15" s="1"/>
      <c r="K15" s="1"/>
      <c r="L15" s="322"/>
      <c r="M15" s="32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idden="1">
      <c r="A16" s="323" t="s">
        <v>151</v>
      </c>
      <c r="B16" s="20"/>
      <c r="C16" s="324"/>
      <c r="D16" s="76"/>
      <c r="E16" s="321"/>
      <c r="F16" s="321"/>
      <c r="G16" s="321"/>
      <c r="H16" s="325"/>
      <c r="I16" s="321"/>
      <c r="J16" s="1"/>
      <c r="K16" s="326"/>
      <c r="L16" s="111"/>
      <c r="M16" s="327"/>
      <c r="N16" s="327"/>
      <c r="O16" s="111"/>
      <c r="P16" s="111"/>
      <c r="Q16" s="328"/>
      <c r="R16" s="327"/>
      <c r="S16" s="329"/>
      <c r="T16" s="329"/>
      <c r="U16" s="32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idden="1">
      <c r="A17" s="330" t="s">
        <v>152</v>
      </c>
      <c r="B17" s="331" t="s">
        <v>153</v>
      </c>
      <c r="C17" s="332"/>
      <c r="D17" s="330"/>
      <c r="E17" s="333"/>
      <c r="F17" s="333"/>
      <c r="G17" s="333"/>
      <c r="H17" s="334"/>
      <c r="I17" s="333"/>
      <c r="J17" s="335"/>
      <c r="K17" s="336"/>
      <c r="L17" s="337"/>
      <c r="M17" s="327"/>
      <c r="N17" s="327"/>
      <c r="O17" s="111"/>
      <c r="P17" s="111"/>
      <c r="Q17" s="328"/>
      <c r="R17" s="327"/>
      <c r="S17" s="329"/>
      <c r="T17" s="329"/>
      <c r="U17" s="329"/>
      <c r="V17" s="1"/>
      <c r="W17" s="1" t="s">
        <v>154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idden="1">
      <c r="A18" s="338" t="s">
        <v>155</v>
      </c>
      <c r="B18" s="335" t="s">
        <v>156</v>
      </c>
      <c r="C18" s="335"/>
      <c r="D18" s="335" t="s">
        <v>157</v>
      </c>
      <c r="E18" s="335"/>
      <c r="F18" s="335" t="s">
        <v>158</v>
      </c>
      <c r="G18" s="335"/>
      <c r="H18" s="335" t="s">
        <v>159</v>
      </c>
      <c r="I18" s="339"/>
      <c r="J18" s="339"/>
      <c r="K18" s="339"/>
      <c r="L18" s="337"/>
      <c r="M18" s="327"/>
      <c r="N18" s="1"/>
      <c r="O18" s="1"/>
      <c r="P18" s="1"/>
      <c r="Q18" s="1"/>
      <c r="R18" s="1"/>
      <c r="S18" s="1"/>
      <c r="T18" s="1"/>
      <c r="U18" s="1"/>
      <c r="V18" s="1"/>
      <c r="W18" s="1" t="s">
        <v>160</v>
      </c>
      <c r="X18" s="1"/>
      <c r="Y18" s="340"/>
      <c r="Z18" s="340"/>
      <c r="AA18" s="340"/>
      <c r="AB18" s="340"/>
      <c r="AC18" s="340"/>
      <c r="AD18" s="34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7.75" hidden="1" customHeight="1">
      <c r="A19" s="341" t="s">
        <v>161</v>
      </c>
      <c r="B19" s="341" t="s">
        <v>162</v>
      </c>
      <c r="C19" s="341" t="s">
        <v>163</v>
      </c>
      <c r="D19" s="341" t="s">
        <v>156</v>
      </c>
      <c r="E19" s="341" t="s">
        <v>157</v>
      </c>
      <c r="F19" s="341" t="s">
        <v>158</v>
      </c>
      <c r="G19" s="341" t="s">
        <v>159</v>
      </c>
      <c r="H19" s="342" t="s">
        <v>144</v>
      </c>
      <c r="I19" s="342" t="s">
        <v>164</v>
      </c>
      <c r="J19" s="342" t="s">
        <v>148</v>
      </c>
      <c r="K19" s="343" t="s">
        <v>149</v>
      </c>
      <c r="L19" s="700" t="s">
        <v>165</v>
      </c>
      <c r="M19" s="327"/>
      <c r="N19" s="344" t="s">
        <v>166</v>
      </c>
      <c r="O19" s="345"/>
      <c r="P19" s="345"/>
      <c r="Q19" s="345"/>
      <c r="R19" s="345"/>
      <c r="S19" s="345"/>
      <c r="T19" s="345"/>
      <c r="U19" s="346"/>
      <c r="V19" s="1"/>
      <c r="W19" s="347" t="s">
        <v>167</v>
      </c>
      <c r="X19" s="348"/>
      <c r="Y19" s="349"/>
      <c r="Z19" s="350"/>
      <c r="AA19" s="350"/>
      <c r="AB19" s="350"/>
      <c r="AC19" s="350"/>
      <c r="AD19" s="35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 hidden="1" customHeight="1">
      <c r="A20" s="352">
        <f>C6</f>
        <v>148</v>
      </c>
      <c r="B20" s="352">
        <f>E6</f>
        <v>3304</v>
      </c>
      <c r="C20" s="353">
        <f>A20/B20</f>
        <v>4.4794188861985475E-2</v>
      </c>
      <c r="D20" s="354">
        <f>2*A20+H20^2</f>
        <v>299.84145882069413</v>
      </c>
      <c r="E20" s="354">
        <f>H20*SQRT((H20^2)+(4*A20*(1-C20)))</f>
        <v>46.765714030960126</v>
      </c>
      <c r="F20" s="352">
        <f>2*(B20+H20^2)</f>
        <v>6615.6829176413885</v>
      </c>
      <c r="G20" s="355" t="s">
        <v>168</v>
      </c>
      <c r="H20" s="356">
        <f>-NORMSINV(2.5/100)</f>
        <v>1.9599639845400538</v>
      </c>
      <c r="I20" s="357">
        <f>C20</f>
        <v>4.4794188861985475E-2</v>
      </c>
      <c r="J20" s="358">
        <f>(D20-E20)/F20</f>
        <v>3.8253910887246716E-2</v>
      </c>
      <c r="K20" s="359">
        <f>(D20+E20)/F20</f>
        <v>5.2391745064956349E-2</v>
      </c>
      <c r="L20" s="701"/>
      <c r="M20" s="327"/>
      <c r="N20" s="360">
        <f>B20</f>
        <v>3304</v>
      </c>
      <c r="O20" s="1" t="s">
        <v>169</v>
      </c>
      <c r="P20" s="111"/>
      <c r="Q20" s="328"/>
      <c r="R20" s="327"/>
      <c r="S20" s="329"/>
      <c r="T20" s="329"/>
      <c r="U20" s="361"/>
      <c r="V20" s="1"/>
      <c r="W20" s="362">
        <f>ABS(C20-C21)</f>
        <v>5.7353118944441783E-3</v>
      </c>
      <c r="X20" s="1" t="s">
        <v>170</v>
      </c>
      <c r="Y20" s="111"/>
      <c r="Z20" s="1"/>
      <c r="AA20" s="1"/>
      <c r="AB20" s="1"/>
      <c r="AC20" s="1"/>
      <c r="AD20" s="363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idden="1">
      <c r="A21" s="352">
        <f>C7</f>
        <v>167</v>
      </c>
      <c r="B21" s="352">
        <f>E7</f>
        <v>3305</v>
      </c>
      <c r="C21" s="353">
        <f>A21/B21</f>
        <v>5.0529500756429653E-2</v>
      </c>
      <c r="D21" s="354">
        <f>2*A21+H21^2</f>
        <v>337.84145882069413</v>
      </c>
      <c r="E21" s="354">
        <f>H21*SQRT((H21^2)+(4*A21*(1-C21)))</f>
        <v>49.509472068573686</v>
      </c>
      <c r="F21" s="352">
        <f>2*(B21+H21^2)</f>
        <v>6617.6829176413885</v>
      </c>
      <c r="G21" s="355" t="s">
        <v>168</v>
      </c>
      <c r="H21" s="356">
        <f>-NORMSINV(2.5/100)</f>
        <v>1.9599639845400538</v>
      </c>
      <c r="I21" s="357">
        <f>C21</f>
        <v>5.0529500756429653E-2</v>
      </c>
      <c r="J21" s="358">
        <f>(D21-E21)/F21</f>
        <v>4.3569930796092747E-2</v>
      </c>
      <c r="K21" s="359">
        <f>(D21+E21)/F21</f>
        <v>5.8532712387393104E-2</v>
      </c>
      <c r="L21" s="701"/>
      <c r="M21" s="1"/>
      <c r="N21" s="364">
        <f>I25</f>
        <v>5.7353118944441783E-3</v>
      </c>
      <c r="O21" s="1" t="s">
        <v>171</v>
      </c>
      <c r="P21" s="1"/>
      <c r="Q21" s="1"/>
      <c r="R21" s="1"/>
      <c r="S21" s="1"/>
      <c r="T21" s="1"/>
      <c r="U21" s="363"/>
      <c r="V21" s="1"/>
      <c r="W21" s="365">
        <f>SQRT((C22*(1-C22)/B20)+(C22*(1-C22)/B21))</f>
        <v>5.2413724187153421E-3</v>
      </c>
      <c r="X21" s="150" t="s">
        <v>172</v>
      </c>
      <c r="Y21" s="1"/>
      <c r="Z21" s="1"/>
      <c r="AA21" s="1"/>
      <c r="AB21" s="1"/>
      <c r="AC21" s="1"/>
      <c r="AD21" s="36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idden="1">
      <c r="A22" s="366">
        <f>A20+A21</f>
        <v>315</v>
      </c>
      <c r="B22" s="366">
        <f>B20+B21</f>
        <v>6609</v>
      </c>
      <c r="C22" s="367">
        <f>A22/B22</f>
        <v>4.766227871084884E-2</v>
      </c>
      <c r="D22" s="368"/>
      <c r="E22" s="368"/>
      <c r="F22" s="369"/>
      <c r="G22" s="337"/>
      <c r="H22" s="370"/>
      <c r="I22" s="371"/>
      <c r="J22" s="371"/>
      <c r="K22" s="371"/>
      <c r="L22" s="701"/>
      <c r="M22" s="1"/>
      <c r="N22" s="372">
        <f>(A20+A21)/(B20+B21)</f>
        <v>4.766227871084884E-2</v>
      </c>
      <c r="O22" s="1" t="s">
        <v>173</v>
      </c>
      <c r="P22" s="111"/>
      <c r="Q22" s="328"/>
      <c r="R22" s="327"/>
      <c r="S22" s="329"/>
      <c r="T22" s="329"/>
      <c r="U22" s="363"/>
      <c r="V22" s="1"/>
      <c r="W22" s="373">
        <f>W20/W21</f>
        <v>1.094238576515786</v>
      </c>
      <c r="X22" s="1" t="s">
        <v>174</v>
      </c>
      <c r="Y22" s="111"/>
      <c r="Z22" s="1"/>
      <c r="AA22" s="1"/>
      <c r="AB22" s="1"/>
      <c r="AC22" s="1"/>
      <c r="AD22" s="36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idden="1">
      <c r="A23" s="335"/>
      <c r="B23" s="331" t="s">
        <v>175</v>
      </c>
      <c r="C23" s="335"/>
      <c r="D23" s="335"/>
      <c r="E23" s="333"/>
      <c r="F23" s="333"/>
      <c r="G23" s="333"/>
      <c r="H23" s="334"/>
      <c r="I23" s="333"/>
      <c r="J23" s="335"/>
      <c r="K23" s="335"/>
      <c r="L23" s="701"/>
      <c r="M23" s="1"/>
      <c r="N23" s="374">
        <f>SQRT(N20*N21^2/(2*N22*(1-N22)))-H20</f>
        <v>-0.8658081826056121</v>
      </c>
      <c r="O23" s="1" t="s">
        <v>176</v>
      </c>
      <c r="P23" s="1"/>
      <c r="Q23" s="1"/>
      <c r="R23" s="1"/>
      <c r="S23" s="1"/>
      <c r="T23" s="1"/>
      <c r="U23" s="361"/>
      <c r="V23" s="1"/>
      <c r="W23" s="375">
        <f>NORMSDIST(-W22)</f>
        <v>0.13692517829561543</v>
      </c>
      <c r="X23" s="326" t="s">
        <v>177</v>
      </c>
      <c r="Y23" s="1"/>
      <c r="Z23" s="1"/>
      <c r="AA23" s="1"/>
      <c r="AB23" s="1"/>
      <c r="AC23" s="1"/>
      <c r="AD23" s="36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idden="1">
      <c r="A24" s="335"/>
      <c r="B24" s="331" t="s">
        <v>178</v>
      </c>
      <c r="C24" s="332"/>
      <c r="D24" s="330"/>
      <c r="E24" s="333"/>
      <c r="F24" s="333"/>
      <c r="G24" s="1"/>
      <c r="H24" s="1"/>
      <c r="I24" s="376"/>
      <c r="J24" s="376"/>
      <c r="K24" s="376"/>
      <c r="L24" s="701"/>
      <c r="M24" s="1"/>
      <c r="N24" s="377">
        <f>NORMSDIST(N23)</f>
        <v>0.1932976805916162</v>
      </c>
      <c r="O24" s="326" t="s">
        <v>179</v>
      </c>
      <c r="P24" s="378"/>
      <c r="Q24" s="1"/>
      <c r="R24" s="1"/>
      <c r="S24" s="1"/>
      <c r="T24" s="1"/>
      <c r="U24" s="363"/>
      <c r="V24" s="1"/>
      <c r="W24" s="379">
        <f>1-W23</f>
        <v>0.86307482170438454</v>
      </c>
      <c r="X24" s="380" t="s">
        <v>180</v>
      </c>
      <c r="Y24" s="378"/>
      <c r="Z24" s="1"/>
      <c r="AA24" s="1"/>
      <c r="AB24" s="1"/>
      <c r="AC24" s="1"/>
      <c r="AD24" s="36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hidden="1" thickBot="1">
      <c r="A25" s="323" t="s">
        <v>181</v>
      </c>
      <c r="B25" s="381"/>
      <c r="C25" s="1"/>
      <c r="D25" s="332"/>
      <c r="E25" s="382" t="s">
        <v>182</v>
      </c>
      <c r="F25" s="335"/>
      <c r="G25" s="332"/>
      <c r="H25" s="383" t="s">
        <v>183</v>
      </c>
      <c r="I25" s="384">
        <f>C21-C20</f>
        <v>5.7353118944441783E-3</v>
      </c>
      <c r="J25" s="385">
        <f>I25+SQRT((C21-J21)^2+(K20-C20)^2)</f>
        <v>1.6038635352927127E-2</v>
      </c>
      <c r="K25" s="386">
        <f>I25-SQRT((C20-J20)^2+(K21-C21)^2)</f>
        <v>-4.6003851017356913E-3</v>
      </c>
      <c r="L25" s="701"/>
      <c r="M25" s="1"/>
      <c r="N25" s="387">
        <f>1-N24</f>
        <v>0.80670231940838377</v>
      </c>
      <c r="O25" s="388" t="s">
        <v>184</v>
      </c>
      <c r="P25" s="389"/>
      <c r="Q25" s="390"/>
      <c r="R25" s="389"/>
      <c r="S25" s="389"/>
      <c r="T25" s="389"/>
      <c r="U25" s="391"/>
      <c r="V25" s="1"/>
      <c r="W25" s="392"/>
      <c r="X25" s="389"/>
      <c r="Y25" s="389"/>
      <c r="Z25" s="389"/>
      <c r="AA25" s="389"/>
      <c r="AB25" s="389"/>
      <c r="AC25" s="389"/>
      <c r="AD25" s="39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hidden="1" thickBot="1">
      <c r="A26" s="1"/>
      <c r="B26" s="1"/>
      <c r="C26" s="393"/>
      <c r="D26" s="1"/>
      <c r="E26" s="297"/>
      <c r="F26" s="1"/>
      <c r="G26" s="1"/>
      <c r="H26" s="394" t="s">
        <v>185</v>
      </c>
      <c r="I26" s="395">
        <f>1/I25</f>
        <v>174.3584339273169</v>
      </c>
      <c r="J26" s="396">
        <f>1/J25</f>
        <v>62.349444201154881</v>
      </c>
      <c r="K26" s="397">
        <f>1/K25</f>
        <v>-217.37310635640208</v>
      </c>
      <c r="L26" s="70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idden="1">
      <c r="A27" s="1"/>
      <c r="B27" s="297"/>
      <c r="C27" s="393"/>
      <c r="D27" s="398"/>
      <c r="E27" s="297"/>
      <c r="F27" s="1"/>
      <c r="G27" s="1"/>
      <c r="H27" s="1"/>
      <c r="I27" s="399"/>
      <c r="J27" s="400"/>
      <c r="K27" s="40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idden="1">
      <c r="A28" s="300"/>
      <c r="B28" s="300"/>
      <c r="C28" s="297"/>
      <c r="D28" s="398"/>
      <c r="E28" s="297"/>
      <c r="F28" s="401"/>
      <c r="G28" s="92" t="s">
        <v>186</v>
      </c>
      <c r="H28" s="402" t="s">
        <v>187</v>
      </c>
      <c r="I28" s="403">
        <f>I26</f>
        <v>174.3584339273169</v>
      </c>
      <c r="J28" s="403">
        <f>J26</f>
        <v>62.349444201154881</v>
      </c>
      <c r="K28" s="403">
        <f>K26</f>
        <v>-217.37310635640208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idden="1">
      <c r="A29" s="43"/>
      <c r="B29" s="398"/>
      <c r="C29" s="398"/>
      <c r="D29" s="404"/>
      <c r="E29" s="297"/>
      <c r="F29" s="703" t="s">
        <v>188</v>
      </c>
      <c r="G29" s="703"/>
      <c r="H29" s="703"/>
      <c r="I29" s="405">
        <f>(1-C21)*I26</f>
        <v>165.54818930829663</v>
      </c>
      <c r="J29" s="405">
        <f>(1-C21)*J26</f>
        <v>59.198957913229656</v>
      </c>
      <c r="K29" s="405">
        <f>(1-C21)*K26</f>
        <v>-206.3893518143388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idden="1">
      <c r="A30" s="1"/>
      <c r="B30" s="297"/>
      <c r="C30" s="297"/>
      <c r="D30" s="297"/>
      <c r="E30" s="297"/>
      <c r="F30" s="704" t="s">
        <v>189</v>
      </c>
      <c r="G30" s="705"/>
      <c r="H30" s="706"/>
      <c r="I30" s="406">
        <f>I26*I25</f>
        <v>1</v>
      </c>
      <c r="J30" s="406">
        <f>J26*J25</f>
        <v>1</v>
      </c>
      <c r="K30" s="406">
        <f>K26*K25</f>
        <v>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idden="1">
      <c r="A31" s="10"/>
      <c r="B31" s="407"/>
      <c r="C31" s="1"/>
      <c r="D31" s="10"/>
      <c r="E31" s="297"/>
      <c r="F31" s="707" t="s">
        <v>190</v>
      </c>
      <c r="G31" s="708"/>
      <c r="H31" s="709"/>
      <c r="I31" s="408">
        <f>(C21-I25)*I26</f>
        <v>7.8102446190202484</v>
      </c>
      <c r="J31" s="408">
        <f>(C21-J25)*J26</f>
        <v>2.150486287925224</v>
      </c>
      <c r="K31" s="408">
        <f>(C21-K25)*K26</f>
        <v>-11.983754542063282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idden="1">
      <c r="A32" s="10"/>
      <c r="B32" s="1"/>
      <c r="C32" s="1"/>
      <c r="D32" s="1"/>
      <c r="E32" s="297"/>
      <c r="F32" s="409"/>
      <c r="G32" s="409"/>
      <c r="H32" s="409"/>
      <c r="I32" s="410"/>
      <c r="J32" s="410"/>
      <c r="K32" s="410"/>
      <c r="L32" s="1"/>
      <c r="M32" s="411"/>
      <c r="N32" s="411"/>
      <c r="O32" s="411"/>
      <c r="P32" s="41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idden="1">
      <c r="A33" s="1"/>
      <c r="B33" s="1"/>
      <c r="C33" s="1"/>
      <c r="D33" s="1"/>
      <c r="E33" s="297"/>
      <c r="F33" s="401"/>
      <c r="G33" s="92" t="s">
        <v>191</v>
      </c>
      <c r="H33" s="402" t="s">
        <v>192</v>
      </c>
      <c r="I33" s="403">
        <f>ABS(I26)</f>
        <v>174.3584339273169</v>
      </c>
      <c r="J33" s="403">
        <f>ABS(K26)</f>
        <v>217.37310635640208</v>
      </c>
      <c r="K33" s="403">
        <f>ABS(J26)</f>
        <v>62.349444201154881</v>
      </c>
      <c r="L33" s="1"/>
      <c r="M33" s="411"/>
      <c r="N33" s="411"/>
      <c r="O33" s="413"/>
      <c r="P33" s="41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idden="1">
      <c r="A34" s="1"/>
      <c r="B34" s="1"/>
      <c r="C34" s="1"/>
      <c r="D34" s="1"/>
      <c r="E34" s="297"/>
      <c r="F34" s="703" t="s">
        <v>188</v>
      </c>
      <c r="G34" s="703"/>
      <c r="H34" s="703"/>
      <c r="I34" s="405">
        <f>ABS((1-(C21-I25))*I26)</f>
        <v>166.54818930829666</v>
      </c>
      <c r="J34" s="405">
        <f>ABS((1-(C21-K25))*K26)</f>
        <v>205.3893518143388</v>
      </c>
      <c r="K34" s="405">
        <f>ABS((1-(C21-J25))*J26)</f>
        <v>60.198957913229656</v>
      </c>
      <c r="L34" s="1"/>
      <c r="M34" s="411"/>
      <c r="N34" s="411"/>
      <c r="O34" s="411"/>
      <c r="P34" s="41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idden="1">
      <c r="A35" s="1"/>
      <c r="B35" s="1"/>
      <c r="C35" s="1"/>
      <c r="D35" s="1"/>
      <c r="E35" s="297"/>
      <c r="F35" s="710" t="s">
        <v>193</v>
      </c>
      <c r="G35" s="711"/>
      <c r="H35" s="712"/>
      <c r="I35" s="414">
        <f>I26*I25</f>
        <v>1</v>
      </c>
      <c r="J35" s="414">
        <f>K26*K25</f>
        <v>1</v>
      </c>
      <c r="K35" s="414">
        <f>J26*J25</f>
        <v>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idden="1">
      <c r="A36" s="323" t="s">
        <v>194</v>
      </c>
      <c r="B36" s="1"/>
      <c r="C36" s="1"/>
      <c r="D36" s="1"/>
      <c r="E36" s="297"/>
      <c r="F36" s="707" t="s">
        <v>195</v>
      </c>
      <c r="G36" s="708"/>
      <c r="H36" s="709"/>
      <c r="I36" s="408">
        <f>ABS(C21*I26)</f>
        <v>8.8102446190202492</v>
      </c>
      <c r="J36" s="408">
        <f>ABS(C21*K26)</f>
        <v>10.983754542063282</v>
      </c>
      <c r="K36" s="408">
        <f>ABS(C21*J26)</f>
        <v>3.150486287925224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idden="1">
      <c r="A37" s="1"/>
      <c r="B37" s="415" t="s">
        <v>196</v>
      </c>
      <c r="C37" s="416" t="s">
        <v>197</v>
      </c>
      <c r="D37" s="1"/>
      <c r="E37" s="297"/>
      <c r="F37" s="409"/>
      <c r="G37" s="43"/>
      <c r="H37" s="417"/>
      <c r="I37" s="418"/>
      <c r="J37" s="418"/>
      <c r="K37" s="41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idden="1">
      <c r="A38" s="419" t="s">
        <v>198</v>
      </c>
      <c r="B38" s="420" t="s">
        <v>199</v>
      </c>
      <c r="C38" s="421" t="s">
        <v>200</v>
      </c>
      <c r="D38" s="111" t="s">
        <v>11</v>
      </c>
      <c r="E38" s="29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idden="1">
      <c r="A39" s="422" t="s">
        <v>201</v>
      </c>
      <c r="B39" s="423">
        <f>E6*C8/E8</f>
        <v>157.47616886064458</v>
      </c>
      <c r="C39" s="423">
        <f>E6*D8/E8</f>
        <v>3146.5238311393555</v>
      </c>
      <c r="D39" s="423">
        <f>E6</f>
        <v>3304</v>
      </c>
      <c r="E39" s="1"/>
      <c r="F39" s="424"/>
      <c r="G39" s="425" t="s">
        <v>202</v>
      </c>
      <c r="H39" s="42">
        <f>CHIINV(0.05,J40)</f>
        <v>3.8414588206941236</v>
      </c>
      <c r="I39" s="1"/>
      <c r="J39" s="1"/>
      <c r="K39" s="1"/>
      <c r="L39" s="1"/>
      <c r="M39" s="1"/>
      <c r="N39" s="411"/>
      <c r="O39" s="411"/>
      <c r="P39" s="4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idden="1">
      <c r="A40" s="426" t="s">
        <v>203</v>
      </c>
      <c r="B40" s="423">
        <f>E7*C8/E8</f>
        <v>157.52383113935542</v>
      </c>
      <c r="C40" s="423">
        <f>E7*D8/E8</f>
        <v>3147.4761688606445</v>
      </c>
      <c r="D40" s="423">
        <f>E7</f>
        <v>3305</v>
      </c>
      <c r="E40" s="1"/>
      <c r="F40" s="427"/>
      <c r="G40" s="427"/>
      <c r="H40" s="428"/>
      <c r="I40" s="429" t="s">
        <v>204</v>
      </c>
      <c r="J40" s="430">
        <f>(COUNT(B39:C39)-1)*(COUNT(B39:B40)-1)</f>
        <v>1</v>
      </c>
      <c r="K40" s="1"/>
      <c r="L40" s="1"/>
      <c r="M40" s="1"/>
      <c r="N40" s="411"/>
      <c r="O40" s="411"/>
      <c r="P40" s="4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idden="1">
      <c r="A41" s="332" t="s">
        <v>205</v>
      </c>
      <c r="B41" s="423">
        <f>SUM(B39:B40)</f>
        <v>315</v>
      </c>
      <c r="C41" s="423">
        <f>SUM(C39:C40)</f>
        <v>6294</v>
      </c>
      <c r="D41" s="431">
        <f>SUM(D39:D40)</f>
        <v>6609</v>
      </c>
      <c r="E41" s="1"/>
      <c r="F41" s="1"/>
      <c r="G41" s="149" t="s">
        <v>206</v>
      </c>
      <c r="H41" s="1" t="s">
        <v>207</v>
      </c>
      <c r="I41" s="1"/>
      <c r="J41" s="1"/>
      <c r="K41" s="1"/>
      <c r="L41" s="1"/>
      <c r="M41" s="1"/>
      <c r="N41" s="411"/>
      <c r="O41" s="413"/>
      <c r="P41" s="41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idden="1">
      <c r="A42" s="332"/>
      <c r="B42" s="432"/>
      <c r="C42" s="432"/>
      <c r="D42" s="433"/>
      <c r="E42" s="1"/>
      <c r="F42" s="1"/>
      <c r="G42" s="149" t="s">
        <v>208</v>
      </c>
      <c r="H42" s="1" t="s">
        <v>209</v>
      </c>
      <c r="I42" s="1"/>
      <c r="J42" s="1"/>
      <c r="K42" s="1"/>
      <c r="L42" s="1"/>
      <c r="M42" s="1"/>
      <c r="N42" s="412"/>
      <c r="O42" s="412"/>
      <c r="P42" s="41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idden="1">
      <c r="A43" s="434"/>
      <c r="B43" s="713" t="s">
        <v>210</v>
      </c>
      <c r="C43" s="714"/>
      <c r="D43" s="1"/>
      <c r="E43" s="1"/>
      <c r="F43" s="332"/>
      <c r="G43" s="435"/>
      <c r="H43" s="33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idden="1">
      <c r="A44" s="434"/>
      <c r="B44" s="436">
        <f>(C6-B39)^2/B39</f>
        <v>0.57023089223687373</v>
      </c>
      <c r="C44" s="436">
        <f>(D6-C39)^2/C39</f>
        <v>2.8538724349318884E-2</v>
      </c>
      <c r="D44" s="1"/>
      <c r="E44" s="419"/>
      <c r="F44" s="437"/>
      <c r="G44" s="1"/>
      <c r="H44" s="1"/>
      <c r="I44" s="1"/>
      <c r="J44" s="1"/>
      <c r="K44" s="9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idden="1">
      <c r="A45" s="434"/>
      <c r="B45" s="436">
        <f>(C7-B40)^2/B40</f>
        <v>0.57005835641471436</v>
      </c>
      <c r="C45" s="436">
        <f>(D7-C40)^2/C40</f>
        <v>2.8530089334387172E-2</v>
      </c>
      <c r="D45" s="10"/>
      <c r="E45" s="419" t="s">
        <v>211</v>
      </c>
      <c r="F45" s="438">
        <f>B47-H39</f>
        <v>-2.6441007583588294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idden="1">
      <c r="A46" s="1" t="s">
        <v>212</v>
      </c>
      <c r="B46" s="1"/>
      <c r="C46" s="439"/>
      <c r="D46" s="1"/>
      <c r="E46" s="1"/>
      <c r="F46" s="335" t="s">
        <v>213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hidden="1" thickBot="1">
      <c r="A47" s="440" t="s">
        <v>214</v>
      </c>
      <c r="B47" s="441">
        <f>SUM(B44:C45)</f>
        <v>1.1973580623352942</v>
      </c>
      <c r="C47" s="1"/>
      <c r="D47" s="1"/>
      <c r="E47" s="1"/>
      <c r="F47" s="335" t="s">
        <v>215</v>
      </c>
      <c r="G47" s="1"/>
      <c r="H47" s="442"/>
      <c r="I47" s="1"/>
      <c r="J47" s="1"/>
      <c r="K47" s="32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hidden="1" thickBot="1">
      <c r="A48" s="443" t="s">
        <v>216</v>
      </c>
      <c r="B48" s="444">
        <f>CHIDIST(B47,1)</f>
        <v>0.27385035659123075</v>
      </c>
      <c r="C48" s="1"/>
      <c r="D48" s="1"/>
      <c r="E48" s="1"/>
      <c r="F48" s="1"/>
      <c r="G48" s="44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idden="1">
      <c r="A49" s="1"/>
      <c r="B49" s="1"/>
      <c r="C49" s="1"/>
      <c r="D49" s="20"/>
      <c r="E49" s="20"/>
      <c r="F49" s="1"/>
      <c r="G49" s="1"/>
      <c r="H49" s="44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idden="1">
      <c r="A51" s="1"/>
      <c r="B51" s="1"/>
      <c r="C51" s="1"/>
      <c r="D51" s="1"/>
      <c r="E51" s="1"/>
      <c r="F51" s="39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idden="1">
      <c r="A52" s="447" t="s">
        <v>217</v>
      </c>
      <c r="B52" s="448"/>
      <c r="C52" s="448"/>
      <c r="D52" s="449" t="s">
        <v>218</v>
      </c>
      <c r="E52" s="450"/>
      <c r="F52" s="450"/>
      <c r="G52" s="45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idden="1">
      <c r="A53" s="452" t="s">
        <v>97</v>
      </c>
      <c r="B53" s="453">
        <f>ROUND(E6,0)</f>
        <v>3304</v>
      </c>
      <c r="C53" s="453">
        <f>ROUND(E7,0)</f>
        <v>3305</v>
      </c>
      <c r="D53" s="454">
        <f>ROUND(F13,2)</f>
        <v>0.89</v>
      </c>
      <c r="E53" s="455">
        <f>ROUND(I25,4)</f>
        <v>5.7000000000000002E-3</v>
      </c>
      <c r="F53" s="456">
        <f>ROUND(I26,0)</f>
        <v>174</v>
      </c>
      <c r="G53" s="45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idden="1">
      <c r="A54" s="452" t="s">
        <v>98</v>
      </c>
      <c r="B54" s="453">
        <f>ROUND(C6,0)</f>
        <v>148</v>
      </c>
      <c r="C54" s="453">
        <f>ROUND(C7,0)</f>
        <v>167</v>
      </c>
      <c r="D54" s="454">
        <f>ROUND(G13,2)</f>
        <v>0.71</v>
      </c>
      <c r="E54" s="455">
        <f>ROUND(K25,4)</f>
        <v>-4.5999999999999999E-3</v>
      </c>
      <c r="F54" s="456">
        <f>ROUND(J26,0)</f>
        <v>62</v>
      </c>
      <c r="G54" s="45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idden="1">
      <c r="A55" s="452" t="s">
        <v>99</v>
      </c>
      <c r="B55" s="455">
        <f>ROUND(C20,4)</f>
        <v>4.48E-2</v>
      </c>
      <c r="C55" s="455">
        <f>ROUND(C21,4)</f>
        <v>5.0500000000000003E-2</v>
      </c>
      <c r="D55" s="454">
        <f>ROUND(H13,2)</f>
        <v>1.1000000000000001</v>
      </c>
      <c r="E55" s="455">
        <f>ROUND(J25,4)</f>
        <v>1.6E-2</v>
      </c>
      <c r="F55" s="456">
        <f>ROUND(K26,0)</f>
        <v>-217</v>
      </c>
      <c r="G55" s="458">
        <f>ROUND(N24,4)</f>
        <v>0.1933</v>
      </c>
      <c r="I55" s="45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idden="1">
      <c r="A56" s="452" t="s">
        <v>100</v>
      </c>
      <c r="B56" s="460" t="s">
        <v>219</v>
      </c>
      <c r="C56" s="460" t="s">
        <v>220</v>
      </c>
      <c r="D56" s="460" t="s">
        <v>147</v>
      </c>
      <c r="E56" s="460" t="s">
        <v>221</v>
      </c>
      <c r="F56" s="461" t="s">
        <v>222</v>
      </c>
      <c r="G56" s="163" t="s">
        <v>223</v>
      </c>
      <c r="I56" s="45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idden="1">
      <c r="A57" s="462" t="s">
        <v>105</v>
      </c>
      <c r="B57" s="163" t="str">
        <f>CONCATENATE(B54,A58,B53," ",A53,B55*100,A56,A55)</f>
        <v>148/3304 (4,48%)</v>
      </c>
      <c r="C57" s="163" t="str">
        <f>CONCATENATE(C54,A58,C53," ",A53,C55*100,A56,A55)</f>
        <v>167/3305 (5,05%)</v>
      </c>
      <c r="D57" s="163" t="str">
        <f>CONCATENATE(D53," ",A53,D54,A54,D55,A55)</f>
        <v>0,89 (0,71-1,1)</v>
      </c>
      <c r="E57" s="163" t="str">
        <f>CONCATENATE(E53*100,A56," ",A53,E54*100,A56," ",A57," ",E55*100,A56,A55)</f>
        <v>0,57% (-0,46% a 1,6%)</v>
      </c>
      <c r="F57" s="163" t="str">
        <f>CONCATENATE(F53," ",A53,F54," ",A57," ",F55,A55)</f>
        <v>174 (62 a -217)</v>
      </c>
      <c r="G57" s="163" t="str">
        <f>CONCATENATE(G55*100,A56)</f>
        <v>19,33%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idden="1">
      <c r="A58" s="463" t="s">
        <v>87</v>
      </c>
      <c r="B58" s="464"/>
      <c r="C58" s="464"/>
      <c r="D58" s="464"/>
      <c r="E58" s="464"/>
      <c r="F58" s="464"/>
      <c r="G58" s="46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6">
      <c r="A60" s="1"/>
      <c r="B60" s="466" t="s">
        <v>219</v>
      </c>
      <c r="C60" s="466" t="s">
        <v>220</v>
      </c>
      <c r="D60" s="467" t="s">
        <v>103</v>
      </c>
      <c r="E60" s="467" t="s">
        <v>95</v>
      </c>
      <c r="F60" s="467" t="s">
        <v>96</v>
      </c>
      <c r="G60" s="467" t="s">
        <v>224</v>
      </c>
      <c r="I60" s="467" t="s">
        <v>225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9.5" customHeight="1">
      <c r="A61" s="1"/>
      <c r="B61" s="468" t="str">
        <f t="shared" ref="B61:G61" si="0">B57</f>
        <v>148/3304 (4,48%)</v>
      </c>
      <c r="C61" s="468" t="str">
        <f t="shared" si="0"/>
        <v>167/3305 (5,05%)</v>
      </c>
      <c r="D61" s="468" t="str">
        <f t="shared" si="0"/>
        <v>0,89 (0,71-1,1)</v>
      </c>
      <c r="E61" s="468" t="str">
        <f t="shared" si="0"/>
        <v>0,57% (-0,46% a 1,6%)</v>
      </c>
      <c r="F61" s="468" t="str">
        <f t="shared" si="0"/>
        <v>174 (62 a -217)</v>
      </c>
      <c r="G61" s="468" t="str">
        <f t="shared" si="0"/>
        <v>19,33%</v>
      </c>
      <c r="I61" s="469">
        <f>B48</f>
        <v>0.27385035659123075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</row>
    <row r="63" spans="1:256" ht="15" thickBot="1">
      <c r="A63" s="470" t="s">
        <v>226</v>
      </c>
    </row>
    <row r="64" spans="1:256" ht="22.5" customHeight="1" thickBot="1">
      <c r="A64" s="471" t="s">
        <v>437</v>
      </c>
      <c r="B64" s="472">
        <v>148</v>
      </c>
      <c r="C64" s="473">
        <v>3156</v>
      </c>
      <c r="D64" s="474">
        <v>3304</v>
      </c>
      <c r="E64" s="472">
        <v>167</v>
      </c>
      <c r="F64" s="473">
        <v>3138</v>
      </c>
      <c r="G64" s="475">
        <v>3305</v>
      </c>
    </row>
    <row r="65" spans="1:11">
      <c r="A65" s="476"/>
    </row>
    <row r="66" spans="1:11">
      <c r="A66" s="476"/>
    </row>
    <row r="67" spans="1:11" ht="26">
      <c r="A67" s="503" t="s">
        <v>233</v>
      </c>
      <c r="B67" s="15" t="s">
        <v>9</v>
      </c>
      <c r="C67" s="15" t="s">
        <v>10</v>
      </c>
      <c r="D67" s="15" t="s">
        <v>11</v>
      </c>
      <c r="E67" s="15" t="s">
        <v>9</v>
      </c>
      <c r="F67" s="15" t="s">
        <v>10</v>
      </c>
      <c r="G67" s="15" t="s">
        <v>11</v>
      </c>
      <c r="I67" s="477" t="s">
        <v>103</v>
      </c>
      <c r="J67" s="477" t="s">
        <v>95</v>
      </c>
      <c r="K67" s="477" t="s">
        <v>96</v>
      </c>
    </row>
    <row r="68" spans="1:11">
      <c r="A68" s="583" t="s">
        <v>434</v>
      </c>
      <c r="B68" s="29">
        <v>168</v>
      </c>
      <c r="C68" s="30">
        <v>2034</v>
      </c>
      <c r="D68" s="31">
        <v>2202</v>
      </c>
      <c r="E68" s="29">
        <v>201</v>
      </c>
      <c r="F68" s="30">
        <v>1998</v>
      </c>
      <c r="G68" s="31">
        <v>2199</v>
      </c>
      <c r="I68" s="478" t="s">
        <v>237</v>
      </c>
      <c r="J68" s="478" t="s">
        <v>238</v>
      </c>
      <c r="K68" s="478" t="s">
        <v>239</v>
      </c>
    </row>
    <row r="69" spans="1:11">
      <c r="A69" s="583" t="s">
        <v>435</v>
      </c>
      <c r="B69" s="29">
        <v>101</v>
      </c>
      <c r="C69" s="30">
        <v>2051</v>
      </c>
      <c r="D69" s="31">
        <v>2152</v>
      </c>
      <c r="E69" s="29">
        <v>146</v>
      </c>
      <c r="F69" s="30">
        <v>2006</v>
      </c>
      <c r="G69" s="31">
        <v>2152</v>
      </c>
      <c r="I69" s="478" t="s">
        <v>240</v>
      </c>
      <c r="J69" s="478" t="s">
        <v>241</v>
      </c>
      <c r="K69" s="478" t="s">
        <v>242</v>
      </c>
    </row>
    <row r="70" spans="1:11">
      <c r="A70" s="583" t="s">
        <v>436</v>
      </c>
      <c r="B70" s="29">
        <v>246</v>
      </c>
      <c r="C70" s="30">
        <v>5046</v>
      </c>
      <c r="D70" s="31">
        <v>5292</v>
      </c>
      <c r="E70" s="29">
        <v>246</v>
      </c>
      <c r="F70" s="30">
        <v>5046</v>
      </c>
      <c r="G70" s="31">
        <v>5292</v>
      </c>
      <c r="I70" s="478" t="s">
        <v>432</v>
      </c>
      <c r="J70" s="478" t="s">
        <v>243</v>
      </c>
      <c r="K70" s="478" t="e">
        <v>#DIV/0!</v>
      </c>
    </row>
    <row r="71" spans="1:11">
      <c r="A71" s="583" t="s">
        <v>437</v>
      </c>
      <c r="B71" s="29">
        <v>148</v>
      </c>
      <c r="C71" s="30">
        <v>3156</v>
      </c>
      <c r="D71" s="31">
        <v>3304</v>
      </c>
      <c r="E71" s="29">
        <v>167</v>
      </c>
      <c r="F71" s="30">
        <v>3138</v>
      </c>
      <c r="G71" s="31">
        <v>3305</v>
      </c>
      <c r="I71" s="478" t="s">
        <v>433</v>
      </c>
      <c r="J71" s="478" t="s">
        <v>245</v>
      </c>
      <c r="K71" s="478" t="s">
        <v>246</v>
      </c>
    </row>
    <row r="72" spans="1:11">
      <c r="A72" s="476"/>
    </row>
    <row r="73" spans="1:11">
      <c r="A73" s="476"/>
    </row>
    <row r="74" spans="1:11">
      <c r="A74" s="476"/>
    </row>
    <row r="75" spans="1:11">
      <c r="A75" s="476"/>
    </row>
    <row r="76" spans="1:11">
      <c r="A76" s="476"/>
    </row>
    <row r="77" spans="1:11">
      <c r="A77" s="476"/>
    </row>
    <row r="78" spans="1:11">
      <c r="A78" s="476"/>
    </row>
    <row r="79" spans="1:11">
      <c r="A79" s="476"/>
    </row>
    <row r="80" spans="1:11">
      <c r="A80" s="476"/>
    </row>
    <row r="81" spans="1:1">
      <c r="A81" s="476"/>
    </row>
    <row r="82" spans="1:1">
      <c r="A82" s="476"/>
    </row>
    <row r="83" spans="1:1">
      <c r="A83" s="476"/>
    </row>
    <row r="84" spans="1:1">
      <c r="A84" s="476"/>
    </row>
    <row r="85" spans="1:1">
      <c r="A85" s="476"/>
    </row>
    <row r="86" spans="1:1">
      <c r="A86" s="476"/>
    </row>
    <row r="87" spans="1:1">
      <c r="A87" s="476"/>
    </row>
    <row r="88" spans="1:1">
      <c r="A88" s="476"/>
    </row>
    <row r="89" spans="1:1">
      <c r="A89" s="476"/>
    </row>
    <row r="90" spans="1:1">
      <c r="A90" s="476"/>
    </row>
    <row r="91" spans="1:1">
      <c r="A91" s="476"/>
    </row>
    <row r="92" spans="1:1">
      <c r="A92" s="476"/>
    </row>
    <row r="93" spans="1:1">
      <c r="A93" s="476"/>
    </row>
    <row r="94" spans="1:1">
      <c r="A94" s="476"/>
    </row>
    <row r="95" spans="1:1">
      <c r="A95" s="476"/>
    </row>
    <row r="96" spans="1:1">
      <c r="A96" s="476"/>
    </row>
    <row r="97" spans="1:1">
      <c r="A97" s="476"/>
    </row>
    <row r="98" spans="1:1">
      <c r="A98" s="476"/>
    </row>
    <row r="99" spans="1:1">
      <c r="A99" s="476"/>
    </row>
    <row r="100" spans="1:1">
      <c r="A100" s="476"/>
    </row>
    <row r="101" spans="1:1">
      <c r="A101" s="476"/>
    </row>
    <row r="102" spans="1:1">
      <c r="A102" s="476"/>
    </row>
    <row r="103" spans="1:1">
      <c r="A103" s="476"/>
    </row>
    <row r="104" spans="1:1">
      <c r="A104" s="476"/>
    </row>
    <row r="105" spans="1:1">
      <c r="A105" s="476"/>
    </row>
    <row r="106" spans="1:1">
      <c r="A106" s="476"/>
    </row>
    <row r="107" spans="1:1">
      <c r="A107" s="476"/>
    </row>
    <row r="108" spans="1:1">
      <c r="A108" s="476"/>
    </row>
  </sheetData>
  <mergeCells count="10">
    <mergeCell ref="F35:H35"/>
    <mergeCell ref="F36:H36"/>
    <mergeCell ref="B43:C43"/>
    <mergeCell ref="A2:F2"/>
    <mergeCell ref="A3:F3"/>
    <mergeCell ref="L19:L26"/>
    <mergeCell ref="F29:H29"/>
    <mergeCell ref="F30:H30"/>
    <mergeCell ref="F31:H31"/>
    <mergeCell ref="F34:H34"/>
  </mergeCells>
  <pageMargins left="0.7" right="0.7" top="0.75" bottom="0.75" header="0.3" footer="0.3"/>
  <ignoredErrors>
    <ignoredError sqref="D6: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M-1 a 9</vt:lpstr>
      <vt:lpstr>Mort</vt:lpstr>
      <vt:lpstr>MortCV</vt:lpstr>
      <vt:lpstr>MortRen</vt:lpstr>
      <vt:lpstr>FGe&gt;40%</vt:lpstr>
      <vt:lpstr>FGe&lt;15</vt:lpstr>
      <vt:lpstr>DialTra</vt:lpstr>
      <vt:lpstr>InsCar</vt:lpstr>
      <vt:lpstr>bastidor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created xsi:type="dcterms:W3CDTF">2022-05-11T06:58:57Z</dcterms:created>
  <dcterms:modified xsi:type="dcterms:W3CDTF">2022-12-16T17:22:40Z</dcterms:modified>
</cp:coreProperties>
</file>