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C:\Users\galoa\Desktop\20221011-TIME\"/>
    </mc:Choice>
  </mc:AlternateContent>
  <xr:revisionPtr revIDLastSave="0" documentId="13_ncr:1_{B101E0EE-6F35-45E5-A377-2085EC6616D1}" xr6:coauthVersionLast="36" xr6:coauthVersionMax="47" xr10:uidLastSave="{00000000-0000-0000-0000-000000000000}"/>
  <bookViews>
    <workbookView xWindow="-110" yWindow="-110" windowWidth="19420" windowHeight="10420" tabRatio="564" xr2:uid="{00000000-000D-0000-FFFF-FFFF00000000}"/>
  </bookViews>
  <sheets>
    <sheet name="Baseline TIME" sheetId="1" r:id="rId1"/>
  </sheets>
  <definedNames>
    <definedName name="ArticleComments" localSheetId="0">'Baseline TIME'!#REF!</definedName>
  </definedNames>
  <calcPr calcId="191029"/>
</workbook>
</file>

<file path=xl/calcChain.xml><?xml version="1.0" encoding="utf-8"?>
<calcChain xmlns="http://schemas.openxmlformats.org/spreadsheetml/2006/main">
  <c r="E8" i="1" l="1"/>
  <c r="E7" i="1"/>
  <c r="D9" i="1"/>
  <c r="B23" i="1" s="1"/>
  <c r="D53" i="1"/>
  <c r="B50" i="1"/>
  <c r="E58" i="1"/>
  <c r="E38" i="1"/>
  <c r="E37" i="1"/>
  <c r="E39" i="1" s="1"/>
  <c r="I23" i="1"/>
  <c r="I22" i="1"/>
  <c r="C22" i="1"/>
  <c r="B22" i="1"/>
  <c r="D22" i="1" s="1"/>
  <c r="J22" i="1" s="1"/>
  <c r="K53" i="1" s="1"/>
  <c r="I21" i="1"/>
  <c r="C21" i="1"/>
  <c r="G21" i="1" s="1"/>
  <c r="D14" i="1"/>
  <c r="F9" i="1"/>
  <c r="C23" i="1" s="1"/>
  <c r="G23" i="1" s="1"/>
  <c r="B14" i="1"/>
  <c r="G14" i="1"/>
  <c r="K14" i="1" s="1"/>
  <c r="E51" i="1"/>
  <c r="B21" i="1"/>
  <c r="C53" i="1"/>
  <c r="G58" i="1"/>
  <c r="F58" i="1"/>
  <c r="E9" i="1"/>
  <c r="C14" i="1"/>
  <c r="G22" i="1"/>
  <c r="E23" i="1" l="1"/>
  <c r="N21" i="1"/>
  <c r="E14" i="1"/>
  <c r="H14" i="1" s="1"/>
  <c r="E22" i="1"/>
  <c r="D38" i="1"/>
  <c r="C37" i="1"/>
  <c r="C42" i="1" s="1"/>
  <c r="C38" i="1"/>
  <c r="C43" i="1" s="1"/>
  <c r="D55" i="1"/>
  <c r="D59" i="1" s="1"/>
  <c r="D37" i="1"/>
  <c r="D42" i="1" s="1"/>
  <c r="K38" i="1"/>
  <c r="I37" i="1" s="1"/>
  <c r="F22" i="1"/>
  <c r="L22" i="1" s="1"/>
  <c r="M53" i="1" s="1"/>
  <c r="F14" i="1"/>
  <c r="I14" i="1" s="1"/>
  <c r="M14" i="1" s="1"/>
  <c r="L14" i="1"/>
  <c r="E52" i="1"/>
  <c r="D43" i="1"/>
  <c r="D39" i="1"/>
  <c r="D23" i="1"/>
  <c r="F23" i="1" s="1"/>
  <c r="N23" i="1"/>
  <c r="D21" i="1"/>
  <c r="F21" i="1" s="1"/>
  <c r="E21" i="1"/>
  <c r="C39" i="1" l="1"/>
  <c r="C45" i="1"/>
  <c r="E53" i="1"/>
  <c r="E55" i="1" s="1"/>
  <c r="E59" i="1" s="1"/>
  <c r="K22" i="1"/>
  <c r="L53" i="1" s="1"/>
  <c r="N53" i="1" s="1"/>
  <c r="K23" i="1"/>
  <c r="L54" i="1" s="1"/>
  <c r="L23" i="1"/>
  <c r="M54" i="1" s="1"/>
  <c r="G43" i="1"/>
  <c r="C46" i="1"/>
  <c r="J59" i="1" s="1"/>
  <c r="W21" i="1"/>
  <c r="J21" i="1"/>
  <c r="K52" i="1" s="1"/>
  <c r="J26" i="1"/>
  <c r="Q28" i="1"/>
  <c r="J23" i="1"/>
  <c r="K54" i="1" s="1"/>
  <c r="N54" i="1" s="1"/>
  <c r="W22" i="1"/>
  <c r="L21" i="1"/>
  <c r="M52" i="1" s="1"/>
  <c r="K21" i="1"/>
  <c r="L52" i="1" s="1"/>
  <c r="W23" i="1" l="1"/>
  <c r="W24" i="1" s="1"/>
  <c r="W25" i="1" s="1"/>
  <c r="N52" i="1"/>
  <c r="C55" i="1"/>
  <c r="C59" i="1" s="1"/>
  <c r="J27" i="1"/>
  <c r="N31" i="1"/>
  <c r="N32" i="1" s="1"/>
  <c r="L26" i="1"/>
  <c r="N22" i="1"/>
  <c r="N24" i="1" s="1"/>
  <c r="N25" i="1" s="1"/>
  <c r="N26" i="1" s="1"/>
  <c r="F51" i="1"/>
  <c r="K26" i="1"/>
  <c r="K27" i="1" l="1"/>
  <c r="M59" i="1"/>
  <c r="F53" i="1"/>
  <c r="L59" i="1"/>
  <c r="F52" i="1"/>
  <c r="F55" i="1" s="1"/>
  <c r="F59" i="1" s="1"/>
  <c r="L27" i="1"/>
  <c r="N33" i="1"/>
  <c r="H53" i="1"/>
  <c r="H55" i="1" s="1"/>
  <c r="H59" i="1" s="1"/>
  <c r="G51" i="1"/>
  <c r="G52" i="1" l="1"/>
  <c r="G53" i="1"/>
  <c r="G55" i="1" l="1"/>
  <c r="G59" i="1" s="1"/>
</calcChain>
</file>

<file path=xl/sharedStrings.xml><?xml version="1.0" encoding="utf-8"?>
<sst xmlns="http://schemas.openxmlformats.org/spreadsheetml/2006/main" count="213" uniqueCount="194">
  <si>
    <t>Límite inferior del IC</t>
  </si>
  <si>
    <t>Límite superior del IC</t>
  </si>
  <si>
    <t>Sin eventos</t>
  </si>
  <si>
    <t>Con eventos</t>
  </si>
  <si>
    <t>RR</t>
  </si>
  <si>
    <t>Z α/2 (0,05)</t>
  </si>
  <si>
    <t>pM = proporción "media" de los eventos = nº total eventos / nº suma de ambos grupos; qM= complementario</t>
  </si>
  <si>
    <t>C= 2(n+z^2)</t>
  </si>
  <si>
    <t>IC = (A+-B)/C</t>
  </si>
  <si>
    <t>A= 2*eventos + z^2</t>
  </si>
  <si>
    <t>p (proporción) = eventos / n</t>
  </si>
  <si>
    <t>Operar</t>
  </si>
  <si>
    <t>A continuación, se aplica: IC = RAR - Raíz [(p1-Li1)^2 + (Ls2-p2)^2]  hasta RAR + Raíz [(p2-Li2)^2 + (Ls1-p1)^2], cuidando colocar arriba la proporción mayor y abajo la menor</t>
  </si>
  <si>
    <t>CÁLCULO DE LA POTENCIA:</t>
  </si>
  <si>
    <t>n = nº de los que hay en cada grupo (ojo, no de la suma de ambos)</t>
  </si>
  <si>
    <t>d = diferencia de proporciones de ambos grupos o RAR</t>
  </si>
  <si>
    <t>1 -β = potencia estadística resultante =&gt; probab de detectar una diferencia entre ambos, en caso de que exista</t>
  </si>
  <si>
    <t>Expuestos</t>
  </si>
  <si>
    <t>No expuestos</t>
  </si>
  <si>
    <t>a</t>
  </si>
  <si>
    <t>Enferman</t>
  </si>
  <si>
    <t>No enferman</t>
  </si>
  <si>
    <t>Total</t>
  </si>
  <si>
    <t>RAR =</t>
  </si>
  <si>
    <t>NNT =</t>
  </si>
  <si>
    <t>ln RR</t>
  </si>
  <si>
    <t>n (de muestra)</t>
  </si>
  <si>
    <t>Aunque es mejor calcularlo por ji^2 de Pearson, puede utilizarse una aproximación al cálculo de la "p de la diferencia"</t>
  </si>
  <si>
    <t>Coinciden z^2 de una distribución normal tipificada (=&gt; muestras grandes) con ji^2 con un grado de libertad (EA, pág 254)</t>
  </si>
  <si>
    <t>Totales</t>
  </si>
  <si>
    <t xml:space="preserve">χ² teórico alfa 0,05, y 1 g.l = </t>
  </si>
  <si>
    <t>Grados de libertad = (Nº filas - 1 ) x (Nº columnas -1) =</t>
  </si>
  <si>
    <t>Esperadas</t>
  </si>
  <si>
    <t>Si χ² cal &lt; χ² teórico =&gt;</t>
  </si>
  <si>
    <t>Se acepta Ho =&gt; existe homogeneidad o independencia de la intervención estudiada</t>
  </si>
  <si>
    <t>Si χ² cal &gt; χ² teórico =&gt;</t>
  </si>
  <si>
    <t>Se rechaza Ho =&gt; existe heterogenicidad o dependencia de la intervención estudiada</t>
  </si>
  <si>
    <t>χ² cal - χ² teórico =</t>
  </si>
  <si>
    <t>χ² cal=</t>
  </si>
  <si>
    <t>χ² cal= Suma [(ao-ae)^2/ae +(bo-be)^2/be + (co-ce)^2/ce + (do-de)^2/de)]</t>
  </si>
  <si>
    <t>Es &lt; 0 =&gt;Acepto Ho =&gt; Homogeneidad o independencia (o tratamiento no eficaz)</t>
  </si>
  <si>
    <t>Es &gt; 0 =&gt;Rechazo Ho =&gt; Heterogenicidad o dependencia (o tratamiento eficaz)</t>
  </si>
  <si>
    <t>Z α/2 = Dif Proporc / EE Dif proporc</t>
  </si>
  <si>
    <t>RRR</t>
  </si>
  <si>
    <t>(</t>
  </si>
  <si>
    <t>)</t>
  </si>
  <si>
    <t>-</t>
  </si>
  <si>
    <t>%</t>
  </si>
  <si>
    <t>NNT</t>
  </si>
  <si>
    <t>/</t>
  </si>
  <si>
    <t>RAR</t>
  </si>
  <si>
    <t>potencia</t>
  </si>
  <si>
    <t>Potencia</t>
  </si>
  <si>
    <t xml:space="preserve"> </t>
  </si>
  <si>
    <t>Nº event Interv (%)</t>
  </si>
  <si>
    <t>Nº event Control (%)</t>
  </si>
  <si>
    <r>
      <t>Zβ = [Raíz (nd^2 /2</t>
    </r>
    <r>
      <rPr>
        <i/>
        <sz val="10"/>
        <rFont val="Calibri"/>
        <family val="2"/>
      </rPr>
      <t>p</t>
    </r>
    <r>
      <rPr>
        <sz val="10"/>
        <rFont val="Calibri"/>
        <family val="2"/>
      </rPr>
      <t>m*</t>
    </r>
    <r>
      <rPr>
        <i/>
        <sz val="10"/>
        <rFont val="Calibri"/>
        <family val="2"/>
      </rPr>
      <t>q</t>
    </r>
    <r>
      <rPr>
        <sz val="10"/>
        <rFont val="Calibri"/>
        <family val="2"/>
      </rPr>
      <t>m)] - Z α/2 (0,05)</t>
    </r>
  </si>
  <si>
    <r>
      <t xml:space="preserve">CÁLCULO DE LA </t>
    </r>
    <r>
      <rPr>
        <b/>
        <i/>
        <sz val="9"/>
        <rFont val="Calibri"/>
        <family val="2"/>
      </rPr>
      <t>p</t>
    </r>
  </si>
  <si>
    <r>
      <t>Corresponde a</t>
    </r>
    <r>
      <rPr>
        <b/>
        <i/>
        <sz val="10"/>
        <rFont val="Calibri"/>
        <family val="2"/>
      </rPr>
      <t xml:space="preserve"> p</t>
    </r>
    <r>
      <rPr>
        <sz val="10"/>
        <rFont val="Calibri"/>
        <family val="2"/>
      </rPr>
      <t>=</t>
    </r>
  </si>
  <si>
    <r>
      <t xml:space="preserve">Valor de </t>
    </r>
    <r>
      <rPr>
        <i/>
        <sz val="10"/>
        <rFont val="Calibri"/>
        <family val="2"/>
      </rPr>
      <t xml:space="preserve">p </t>
    </r>
    <r>
      <rPr>
        <b/>
        <sz val="10"/>
        <rFont val="Calibri"/>
        <family val="2"/>
      </rPr>
      <t>para la diferencia</t>
    </r>
  </si>
  <si>
    <t>Cálculo por incidencias acumuladas de RR, RAR, NNT con sus IC 95%, potencia estadística y valor de p</t>
  </si>
  <si>
    <t>EE del ln RR = Raíz (varianza del ln RR) = Raíz [b/ a(a+b)]+[d / c(c+d)]. También es igual a Raíz (1/a + 1/c - 1/a+b -1/c+d)</t>
  </si>
  <si>
    <t>EE del ln RR = Raíz (varianza del ln RR) = Raíz [b / a(a+b)]+[d/ c(c+d)]</t>
  </si>
  <si>
    <t>ln del LI IC</t>
  </si>
  <si>
    <t>ln del LS IC</t>
  </si>
  <si>
    <t>IC</t>
  </si>
  <si>
    <r>
      <t xml:space="preserve">Los límites del intervalos de confianza son los exponentes neperianos o antilogaritmos de la ecuación [ ln RR + - Z </t>
    </r>
    <r>
      <rPr>
        <b/>
        <vertAlign val="subscript"/>
        <sz val="10"/>
        <rFont val="Calibri"/>
        <family val="2"/>
      </rPr>
      <t>α/2</t>
    </r>
    <r>
      <rPr>
        <b/>
        <sz val="10"/>
        <rFont val="Calibri"/>
        <family val="2"/>
      </rPr>
      <t xml:space="preserve"> * EE (ln RR) ]</t>
    </r>
  </si>
  <si>
    <r>
      <t xml:space="preserve">Z </t>
    </r>
    <r>
      <rPr>
        <b/>
        <vertAlign val="subscript"/>
        <sz val="10"/>
        <rFont val="Calibri"/>
        <family val="2"/>
      </rPr>
      <t>α/2</t>
    </r>
  </si>
  <si>
    <t>LI del IC</t>
  </si>
  <si>
    <t>LS del IC</t>
  </si>
  <si>
    <r>
      <t xml:space="preserve">MÉTODO DE NEWCOMBE-WILSON: </t>
    </r>
    <r>
      <rPr>
        <sz val="10"/>
        <rFont val="Calibri"/>
        <family val="2"/>
      </rPr>
      <t>Que puede utilizarse sin necesidad de estar pendientes del tamaño del amuestra o de proporciones cuyo p &lt;5 / n. Por ello puede utilizarse para las excepciones anteriores y para todas todas</t>
    </r>
  </si>
  <si>
    <t>Para calcular el IC 95% se sigue la iteración de calcular tres valores, que denominamos A, B y C. Pues bien, el IC = (A+-B) / C; y sale directamente sin sumar ni restar a la estimación puntual. Se observará que los extremos tienen distinta extensión.</t>
  </si>
  <si>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</si>
  <si>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</si>
  <si>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t>eventos</t>
  </si>
  <si>
    <r>
      <t xml:space="preserve">B= z * Raíz [z^2 + 4*eventos (1 - </t>
    </r>
    <r>
      <rPr>
        <b/>
        <i/>
        <sz val="10"/>
        <rFont val="Calibri"/>
        <family val="2"/>
      </rPr>
      <t>p</t>
    </r>
    <r>
      <rPr>
        <b/>
        <sz val="10"/>
        <rFont val="Calibri"/>
        <family val="2"/>
      </rPr>
      <t xml:space="preserve">)] </t>
    </r>
  </si>
  <si>
    <t>Proporción</t>
  </si>
  <si>
    <r>
      <t xml:space="preserve">Z </t>
    </r>
    <r>
      <rPr>
        <vertAlign val="subscript"/>
        <sz val="10"/>
        <rFont val="Calibri"/>
        <family val="2"/>
      </rPr>
      <t>α/2</t>
    </r>
    <r>
      <rPr>
        <sz val="10"/>
        <rFont val="Calibri"/>
        <family val="2"/>
      </rPr>
      <t xml:space="preserve"> = Dif Proporc / EE</t>
    </r>
    <r>
      <rPr>
        <vertAlign val="subscript"/>
        <sz val="10"/>
        <rFont val="Calibri"/>
        <family val="2"/>
      </rPr>
      <t xml:space="preserve"> dif proporc</t>
    </r>
  </si>
  <si>
    <t xml:space="preserve"> p (no rechazar Ho │ Ho verdadera)</t>
  </si>
  <si>
    <t>Dif Proporc =  RAR</t>
  </si>
  <si>
    <r>
      <t xml:space="preserve">1-α =  p (no rechazar Ho </t>
    </r>
    <r>
      <rPr>
        <sz val="10"/>
        <rFont val="Calibri"/>
        <family val="2"/>
      </rPr>
      <t>│ Ho verdadera)</t>
    </r>
  </si>
  <si>
    <r>
      <t xml:space="preserve">EE </t>
    </r>
    <r>
      <rPr>
        <vertAlign val="subscript"/>
        <sz val="10"/>
        <rFont val="Calibri"/>
        <family val="2"/>
      </rPr>
      <t>dif proporc</t>
    </r>
    <r>
      <rPr>
        <sz val="10"/>
        <rFont val="Calibri"/>
        <family val="2"/>
      </rPr>
      <t xml:space="preserve"> = Raíz{ [PM*(1-PM)/n</t>
    </r>
    <r>
      <rPr>
        <vertAlign val="subscript"/>
        <sz val="10"/>
        <rFont val="Calibri"/>
        <family val="2"/>
      </rPr>
      <t>1</t>
    </r>
    <r>
      <rPr>
        <sz val="10"/>
        <rFont val="Calibri"/>
        <family val="2"/>
      </rPr>
      <t>] + [PM*(1-PM)/n</t>
    </r>
    <r>
      <rPr>
        <vertAlign val="subscript"/>
        <sz val="10"/>
        <rFont val="Calibri"/>
        <family val="2"/>
      </rPr>
      <t>2</t>
    </r>
    <r>
      <rPr>
        <sz val="10"/>
        <rFont val="Calibri"/>
        <family val="2"/>
      </rPr>
      <t xml:space="preserve">] }= </t>
    </r>
  </si>
  <si>
    <r>
      <t>Zβ = [Raíz (n* Dif Proporc</t>
    </r>
    <r>
      <rPr>
        <vertAlign val="superscript"/>
        <sz val="10"/>
        <rFont val="Calibri"/>
        <family val="2"/>
      </rPr>
      <t>2</t>
    </r>
    <r>
      <rPr>
        <sz val="10"/>
        <rFont val="Calibri"/>
        <family val="2"/>
      </rPr>
      <t xml:space="preserve"> /2PM</t>
    </r>
    <r>
      <rPr>
        <sz val="10"/>
        <rFont val="Calibri"/>
        <family val="2"/>
      </rPr>
      <t>*(1-PM)] - Z α/2</t>
    </r>
  </si>
  <si>
    <t>α = probab de que la diferencia detectada entre ambos sea debida al azar, en caso de que no exista</t>
  </si>
  <si>
    <r>
      <t>Ls1:</t>
    </r>
    <r>
      <rPr>
        <sz val="10"/>
        <rFont val="Calibri"/>
        <family val="2"/>
      </rPr>
      <t xml:space="preserve"> límite superior del grupo 1; </t>
    </r>
    <r>
      <rPr>
        <b/>
        <sz val="10"/>
        <rFont val="Calibri"/>
        <family val="2"/>
      </rPr>
      <t xml:space="preserve">Li2: </t>
    </r>
    <r>
      <rPr>
        <sz val="10"/>
        <rFont val="Calibri"/>
        <family val="2"/>
      </rPr>
      <t>límite inferior del grupo 2</t>
    </r>
  </si>
  <si>
    <t>1-α = nivel e confianza =  p (no rechazar Ho │ Ho verdadera)</t>
  </si>
  <si>
    <t xml:space="preserve"> β =&gt; probabilidad de no detectar una diferencia que sí exista.</t>
  </si>
  <si>
    <t>Potencia de contraste</t>
  </si>
  <si>
    <r>
      <t xml:space="preserve">1 -β =  p (rechazar Ho </t>
    </r>
    <r>
      <rPr>
        <sz val="10"/>
        <rFont val="Calibri"/>
        <family val="2"/>
      </rPr>
      <t>│ Ho falsa)</t>
    </r>
  </si>
  <si>
    <t>DM: diferencia de proporciones</t>
  </si>
  <si>
    <r>
      <t>Z</t>
    </r>
    <r>
      <rPr>
        <vertAlign val="subscript"/>
        <sz val="10"/>
        <rFont val="Calibri"/>
        <family val="2"/>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</si>
  <si>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</si>
  <si>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(Z</t>
    </r>
    <r>
      <rPr>
        <vertAlign val="subscript"/>
        <sz val="10"/>
        <rFont val="Calibri"/>
        <family val="2"/>
      </rPr>
      <t>1-</t>
    </r>
    <r>
      <rPr>
        <vertAlign val="subscript"/>
        <sz val="10"/>
        <rFont val="Calibri"/>
        <family val="2"/>
      </rPr>
      <t>α/2</t>
    </r>
    <r>
      <rPr>
        <sz val="10"/>
        <rFont val="Calibri"/>
        <family val="2"/>
      </rPr>
      <t xml:space="preserve"> + Z</t>
    </r>
    <r>
      <rPr>
        <vertAlign val="subscript"/>
        <sz val="10"/>
        <rFont val="Calibri"/>
        <family val="2"/>
      </rPr>
      <t>β</t>
    </r>
    <r>
      <rPr>
        <sz val="10"/>
        <rFont val="Calibri"/>
        <family val="2"/>
      </rPr>
      <t xml:space="preserve">) </t>
    </r>
    <r>
      <rPr>
        <sz val="10"/>
        <rFont val="Calibri"/>
        <family val="2"/>
      </rPr>
      <t>= DM</t>
    </r>
  </si>
  <si>
    <r>
      <t>Z</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Z</t>
    </r>
    <r>
      <rPr>
        <vertAlign val="subscript"/>
        <sz val="10"/>
        <rFont val="Calibri"/>
        <family val="2"/>
      </rPr>
      <t>1-α/2</t>
    </r>
    <r>
      <rPr>
        <sz val="10"/>
        <rFont val="Calibri"/>
        <family val="2"/>
      </rPr>
      <t xml:space="preserve"> </t>
    </r>
  </si>
  <si>
    <t>1 -β =  potencia estadística resultante =  p de detectar una diferencia entre ambos, en caso de que exista</t>
  </si>
  <si>
    <t>β =  probabilidad de no detectar una diferencia que sí exista =  p (no rechazar Ho │ Ho falsa)</t>
  </si>
  <si>
    <t>Chi cuadrado de Pearson</t>
  </si>
  <si>
    <r>
      <t>χ² cal= Sumat (observado</t>
    </r>
    <r>
      <rPr>
        <vertAlign val="subscript"/>
        <sz val="10"/>
        <rFont val="Calibri"/>
        <family val="2"/>
      </rPr>
      <t xml:space="preserve"> i </t>
    </r>
    <r>
      <rPr>
        <sz val="10"/>
        <rFont val="Calibri"/>
        <family val="2"/>
      </rPr>
      <t xml:space="preserve">- esperado </t>
    </r>
    <r>
      <rPr>
        <vertAlign val="subscript"/>
        <sz val="10"/>
        <rFont val="Calibri"/>
        <family val="2"/>
      </rPr>
      <t>i</t>
    </r>
    <r>
      <rPr>
        <sz val="10"/>
        <rFont val="Calibri"/>
        <family val="2"/>
      </rPr>
      <t>)</t>
    </r>
    <r>
      <rPr>
        <vertAlign val="superscript"/>
        <sz val="10"/>
        <rFont val="Calibri"/>
        <family val="2"/>
      </rPr>
      <t>2</t>
    </r>
    <r>
      <rPr>
        <sz val="10"/>
        <rFont val="Calibri"/>
        <family val="2"/>
      </rPr>
      <t xml:space="preserve"> / esperado </t>
    </r>
    <r>
      <rPr>
        <vertAlign val="subscript"/>
        <sz val="10"/>
        <rFont val="Calibri"/>
        <family val="2"/>
      </rPr>
      <t>i</t>
    </r>
    <r>
      <rPr>
        <sz val="10"/>
        <rFont val="Calibri"/>
        <family val="2"/>
      </rPr>
      <t>)</t>
    </r>
  </si>
  <si>
    <t>Cálculo por incidencias acumuladas</t>
  </si>
  <si>
    <t>Estimación puntual e IC de cada proporción</t>
  </si>
  <si>
    <t>% Intervención (Fact Box)</t>
  </si>
  <si>
    <t>% Control (Fact Box)</t>
  </si>
  <si>
    <r>
      <t>Abreviaturas</t>
    </r>
    <r>
      <rPr>
        <sz val="10"/>
        <rFont val="Calibri"/>
        <family val="2"/>
      </rPr>
      <t xml:space="preserve">: </t>
    </r>
    <r>
      <rPr>
        <b/>
        <sz val="10"/>
        <rFont val="Calibri"/>
        <family val="2"/>
      </rPr>
      <t>RA</t>
    </r>
    <r>
      <rPr>
        <sz val="10"/>
        <rFont val="Calibri"/>
        <family val="2"/>
      </rPr>
      <t>: Riesgo Absoluto;</t>
    </r>
    <r>
      <rPr>
        <b/>
        <sz val="10"/>
        <rFont val="Calibri"/>
        <family val="2"/>
      </rPr>
      <t xml:space="preserve"> RR</t>
    </r>
    <r>
      <rPr>
        <sz val="10"/>
        <rFont val="Calibri"/>
        <family val="2"/>
      </rPr>
      <t xml:space="preserve">: Riesgo Relativo; </t>
    </r>
    <r>
      <rPr>
        <b/>
        <sz val="10"/>
        <rFont val="Calibri"/>
        <family val="2"/>
      </rPr>
      <t>RAR</t>
    </r>
    <r>
      <rPr>
        <sz val="10"/>
        <rFont val="Calibri"/>
        <family val="2"/>
      </rPr>
      <t xml:space="preserve">: Reducción Absoluta del Riesgo; </t>
    </r>
    <r>
      <rPr>
        <b/>
        <sz val="10"/>
        <rFont val="Calibri"/>
        <family val="2"/>
      </rPr>
      <t>NNT</t>
    </r>
    <r>
      <rPr>
        <sz val="10"/>
        <rFont val="Calibri"/>
        <family val="2"/>
      </rPr>
      <t xml:space="preserve">: Número Necesario a Tratar con la intervención, para evitar un evento más que con el control; </t>
    </r>
    <r>
      <rPr>
        <b/>
        <sz val="10"/>
        <rFont val="Calibri"/>
        <family val="2"/>
      </rPr>
      <t>IC</t>
    </r>
    <r>
      <rPr>
        <sz val="10"/>
        <rFont val="Calibri"/>
        <family val="2"/>
      </rPr>
      <t>: intervalo de confianza.</t>
    </r>
  </si>
  <si>
    <t>valor de p para la diferencia</t>
  </si>
  <si>
    <t>Las variables dicotómicas se informan en Número y Porcentaje, Nº (%). Las variables continuas en Media y Desviación Estándar, media (DE), salvo que se informen en Mediana y Rango Intercuatílico, mediana [IQR].</t>
  </si>
  <si>
    <t>Mackenzie IS, Rogers A, Poulter NR, on behalf of the TIME study investigators. Cardiovascular outcomes in adults with hypertension with evening versus morning dosing of usual antihypertensives in the UK (TIME study): a prospective, randomised, open-label, blinded-endpoint clinical trial. Lancet. 2022 Oct 11:S0140-6736(22)01786-X.</t>
  </si>
  <si>
    <t>Toma por la noche; 
n= 10.503</t>
  </si>
  <si>
    <t>Toma por la mañana; 
n= 10.601</t>
  </si>
  <si>
    <t>Varones</t>
  </si>
  <si>
    <t>Lugar de residencia</t>
  </si>
  <si>
    <t>Inglaterra</t>
  </si>
  <si>
    <t>Escocia, Gales, Irlanda del Norte</t>
  </si>
  <si>
    <t>Grupos étnicos</t>
  </si>
  <si>
    <t>Blancos</t>
  </si>
  <si>
    <t>Resto</t>
  </si>
  <si>
    <t>Estatus de fumador</t>
  </si>
  <si>
    <t>Nunca</t>
  </si>
  <si>
    <t>Ex-fumador</t>
  </si>
  <si>
    <t>Actual</t>
  </si>
  <si>
    <t>Evidencia de enfermedad cardiovascular</t>
  </si>
  <si>
    <t>Angina que requiere tratamiento</t>
  </si>
  <si>
    <t>Infarto de miocardio</t>
  </si>
  <si>
    <t>Ictus</t>
  </si>
  <si>
    <t>Ataque isquémico transitorio</t>
  </si>
  <si>
    <t>Enfermedad vascular periférica</t>
  </si>
  <si>
    <t>Diabetes que necesita tratamiento</t>
  </si>
  <si>
    <t>Asma</t>
  </si>
  <si>
    <t>Deterioro de la función renal</t>
  </si>
  <si>
    <t>Enfermedad pulmonar obstructiva crónica</t>
  </si>
  <si>
    <t xml:space="preserve">Nº de medicaciones anti-HTA, media (DE) </t>
  </si>
  <si>
    <t>Historia cardiovascular previa a la entrada en el estudio</t>
  </si>
  <si>
    <t>1,49 (DE 0,68)</t>
  </si>
  <si>
    <t>1,5 (DE 0,71)</t>
  </si>
  <si>
    <t>65 (DE 9,3)</t>
  </si>
  <si>
    <t>65,2 (DE 9,2)</t>
  </si>
  <si>
    <t>Edad en años; media (DE)</t>
  </si>
  <si>
    <t>135 (DE 13,3)</t>
  </si>
  <si>
    <t>134,8 (DE 13,3)</t>
  </si>
  <si>
    <t>79,1 (DE 9,2)</t>
  </si>
  <si>
    <t>78,8 (DE 9,3)</t>
  </si>
  <si>
    <r>
      <t>Índice de masa corporal en Kg/m</t>
    </r>
    <r>
      <rPr>
        <vertAlign val="superscript"/>
        <sz val="10"/>
        <color rgb="FF000000"/>
        <rFont val="Calibri"/>
        <family val="2"/>
        <scheme val="minor"/>
      </rPr>
      <t>2</t>
    </r>
    <r>
      <rPr>
        <sz val="10"/>
        <color rgb="FF000000"/>
        <rFont val="Calibri"/>
        <family val="2"/>
        <scheme val="minor"/>
      </rPr>
      <t>, media (DE); n= 9.713 y 9.791</t>
    </r>
  </si>
  <si>
    <t>28,4 (DE 4,8)</t>
  </si>
  <si>
    <t>28,4 (DE 4,9)</t>
  </si>
  <si>
    <t>9243 (88%)</t>
  </si>
  <si>
    <t>1260 (12%)</t>
  </si>
  <si>
    <t>3944 (37,55%)</t>
  </si>
  <si>
    <t>428 (4,08%)</t>
  </si>
  <si>
    <t>1050 (10%)</t>
  </si>
  <si>
    <t>9289 (87,62%)</t>
  </si>
  <si>
    <t>1312 (12,38%)</t>
  </si>
  <si>
    <t>4063 (38,33%)</t>
  </si>
  <si>
    <t>457 (4,31%)</t>
  </si>
  <si>
    <t>6041 (57,5%)</t>
  </si>
  <si>
    <t>6095 (57,5%)</t>
  </si>
  <si>
    <t>9476 (90,2%)</t>
  </si>
  <si>
    <t>9625 (90,8%)</t>
  </si>
  <si>
    <t>1027 (9,8%)</t>
  </si>
  <si>
    <t>976 (9,2%)</t>
  </si>
  <si>
    <t>6066 (57,7%)</t>
  </si>
  <si>
    <t>6012 (56,7%)</t>
  </si>
  <si>
    <t>1364 (13%)</t>
  </si>
  <si>
    <t>1361 (12,8%)</t>
  </si>
  <si>
    <t>516 (4,9%)</t>
  </si>
  <si>
    <t>469 (4,4%)</t>
  </si>
  <si>
    <t>302 (2,9%)</t>
  </si>
  <si>
    <t>334 (3,1%)</t>
  </si>
  <si>
    <t>260 (2,5%)</t>
  </si>
  <si>
    <t>237 (2,2%)</t>
  </si>
  <si>
    <t>429 (4,1%)</t>
  </si>
  <si>
    <t>448 (4,2%)</t>
  </si>
  <si>
    <t>164 (1,5%)</t>
  </si>
  <si>
    <t>160 (1,5%)</t>
  </si>
  <si>
    <t>1354 (12,9%)</t>
  </si>
  <si>
    <t>1413 (13,3%)</t>
  </si>
  <si>
    <t>995 (9,5%)</t>
  </si>
  <si>
    <t>1074 (10,1%)</t>
  </si>
  <si>
    <t>1034 (9,7%)</t>
  </si>
  <si>
    <t>735 (6,9%)</t>
  </si>
  <si>
    <t>685 (6,5%)</t>
  </si>
  <si>
    <t>327 (3,1%)</t>
  </si>
  <si>
    <t>355 (3,3%)</t>
  </si>
  <si>
    <t>316 (3%)</t>
  </si>
  <si>
    <t>300 (2,8%)</t>
  </si>
  <si>
    <t>Más historia clínica previa a la entrada en el estudio</t>
  </si>
  <si>
    <t>Diabetes de cualquier tipo</t>
  </si>
  <si>
    <t>Con el factor</t>
  </si>
  <si>
    <t>Sin el factor</t>
  </si>
  <si>
    <t>Grupo [Toma por la noche]</t>
  </si>
  <si>
    <t>Grupo [Toma por la mañana]</t>
  </si>
  <si>
    <r>
      <rPr>
        <b/>
        <sz val="12"/>
        <color indexed="60"/>
        <rFont val="Calibri"/>
        <family val="2"/>
      </rPr>
      <t>Suplemento 1:</t>
    </r>
    <r>
      <rPr>
        <b/>
        <sz val="12"/>
        <rFont val="Calibri"/>
        <family val="2"/>
      </rPr>
      <t xml:space="preserve"> Características sociodemográficas y clínicas en el inicio (baseline), ECA TIME</t>
    </r>
  </si>
  <si>
    <t>20221011-ECA TIME 61m, 65y HTA PS13 anti-HTA [noch vs mañ], =MACE. Mackenzie</t>
  </si>
  <si>
    <t>Artritis que requiere tratamiento</t>
  </si>
  <si>
    <t>Presión arterial diastólica en mm Hg, media (DE); n= 5.044 y 5.023</t>
  </si>
  <si>
    <t>Presión arterial sistólica, media (DE); n= 5.052 y 5.026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</si>
</sst>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 _€_-;\-* #,##0.00\ _€_-;_-* &quot;-&quot;??\ _€_-;_-@_-"/>
    <numFmt numFmtId="164" formatCode="_-* #,##0\ _€_-;\-* #,##0\ _€_-;_-* &quot;-&quot;??\ _€_-;_-@_-"/>
    <numFmt numFmtId="165" formatCode="_-* #,##0.000\ _€_-;\-* #,##0.000\ _€_-;_-* &quot;-&quot;??\ _€_-;_-@_-"/>
    <numFmt numFmtId="166" formatCode="_-* #,##0.0000\ _€_-;\-* #,##0.0000\ _€_-;_-* &quot;-&quot;??\ _€_-;_-@_-"/>
    <numFmt numFmtId="167" formatCode="0.0%"/>
    <numFmt numFmtId="168" formatCode="_-* #,##0.00000\ _€_-;\-* #,##0.00000\ _€_-;_-* &quot;-&quot;??\ _€_-;_-@_-"/>
    <numFmt numFmtId="169" formatCode="_-* #,##0.000000\ _€_-;\-* #,##0.000000\ _€_-;_-* &quot;-&quot;??\ _€_-;_-@_-"/>
    <numFmt numFmtId="170" formatCode="_-* #,##0.000\ _€_-;\-* #,##0.000\ _€_-;_-* &quot;-&quot;???\ _€_-;_-@_-"/>
    <numFmt numFmtId="171" formatCode="_-* #,##0.0\ _€_-;\-* #,##0.0\ _€_-;_-* &quot;-&quot;??\ _€_-;_-@_-"/>
    <numFmt numFmtId="172" formatCode="_-* #,##0.0\ _€_-;\-* #,##0.0\ _€_-;_-* &quot;-&quot;?\ _€_-;_-@_-"/>
    <numFmt numFmtId="173" formatCode="_-* #,##0.0000\ _€_-;\-* #,##0.0000\ _€_-;_-* &quot;-&quot;?\ _€_-;_-@_-"/>
    <numFmt numFmtId="174" formatCode="0.000"/>
    <numFmt numFmtId="175" formatCode="0.0000"/>
    <numFmt numFmtId="176" formatCode="#,##0.00_ ;\-#,##0.00\ "/>
  </numFmts>
  <fonts count="41" x14ac:knownFonts="1">
    <font>
      <sz val="10"/>
      <name val="Arial"/>
    </font>
    <font>
      <sz val="10"/>
      <name val="Arial"/>
      <family val="2"/>
    </font>
    <font>
      <sz val="8"/>
      <name val="Arial"/>
      <family val="2"/>
    </font>
    <font>
      <sz val="10"/>
      <name val="Calibri"/>
      <family val="2"/>
    </font>
    <font>
      <b/>
      <sz val="10"/>
      <name val="Calibri"/>
      <family val="2"/>
    </font>
    <font>
      <i/>
      <sz val="10"/>
      <name val="Calibri"/>
      <family val="2"/>
    </font>
    <font>
      <b/>
      <i/>
      <sz val="9"/>
      <name val="Calibri"/>
      <family val="2"/>
    </font>
    <font>
      <b/>
      <i/>
      <sz val="10"/>
      <name val="Calibri"/>
      <family val="2"/>
    </font>
    <font>
      <vertAlign val="subscript"/>
      <sz val="10"/>
      <name val="Calibri"/>
      <family val="2"/>
    </font>
    <font>
      <vertAlign val="superscript"/>
      <sz val="10"/>
      <name val="Calibri"/>
      <family val="2"/>
    </font>
    <font>
      <sz val="10"/>
      <name val="Calibri"/>
      <family val="2"/>
      <scheme val="minor"/>
    </font>
    <font>
      <sz val="10"/>
      <color indexed="12"/>
      <name val="Calibri"/>
      <family val="2"/>
      <scheme val="minor"/>
    </font>
    <font>
      <b/>
      <sz val="10"/>
      <color indexed="12"/>
      <name val="Calibri"/>
      <family val="2"/>
      <scheme val="minor"/>
    </font>
    <font>
      <sz val="8"/>
      <name val="Calibri"/>
      <family val="2"/>
      <scheme val="minor"/>
    </font>
    <font>
      <b/>
      <sz val="10"/>
      <color indexed="57"/>
      <name val="Calibri"/>
      <family val="2"/>
      <scheme val="minor"/>
    </font>
    <font>
      <b/>
      <sz val="10"/>
      <name val="Calibri"/>
      <family val="2"/>
      <scheme val="minor"/>
    </font>
    <font>
      <sz val="10"/>
      <color indexed="20"/>
      <name val="Calibri"/>
      <family val="2"/>
      <scheme val="minor"/>
    </font>
    <font>
      <sz val="10"/>
      <color indexed="63"/>
      <name val="Calibri"/>
      <family val="2"/>
      <scheme val="minor"/>
    </font>
    <font>
      <sz val="10"/>
      <color indexed="52"/>
      <name val="Calibri"/>
      <family val="2"/>
      <scheme val="minor"/>
    </font>
    <font>
      <b/>
      <sz val="9"/>
      <name val="Calibri"/>
      <family val="2"/>
      <scheme val="minor"/>
    </font>
    <font>
      <b/>
      <sz val="10"/>
      <color indexed="14"/>
      <name val="Calibri"/>
      <family val="2"/>
      <scheme val="minor"/>
    </font>
    <font>
      <sz val="10"/>
      <color indexed="14"/>
      <name val="Calibri"/>
      <family val="2"/>
      <scheme val="minor"/>
    </font>
    <font>
      <b/>
      <sz val="12"/>
      <name val="Calibri"/>
      <family val="2"/>
      <scheme val="minor"/>
    </font>
    <font>
      <i/>
      <sz val="10"/>
      <name val="Calibri"/>
      <family val="2"/>
      <scheme val="minor"/>
    </font>
    <font>
      <sz val="12"/>
      <name val="Calibri"/>
      <family val="2"/>
      <scheme val="minor"/>
    </font>
    <font>
      <sz val="10"/>
      <color indexed="61"/>
      <name val="Calibri"/>
      <family val="2"/>
      <scheme val="minor"/>
    </font>
    <font>
      <b/>
      <sz val="24"/>
      <name val="Calibri"/>
      <family val="2"/>
      <scheme val="minor"/>
    </font>
    <font>
      <b/>
      <i/>
      <sz val="10"/>
      <name val="Calibri"/>
      <family val="2"/>
      <scheme val="minor"/>
    </font>
    <font>
      <b/>
      <sz val="10"/>
      <color indexed="50"/>
      <name val="Calibri"/>
      <family val="2"/>
      <scheme val="minor"/>
    </font>
    <font>
      <b/>
      <vertAlign val="subscript"/>
      <sz val="10"/>
      <name val="Calibri"/>
      <family val="2"/>
    </font>
    <font>
      <sz val="10"/>
      <color rgb="FF000000"/>
      <name val="Calibri"/>
      <family val="2"/>
      <scheme val="minor"/>
    </font>
    <font>
      <sz val="11"/>
      <color rgb="FF000000"/>
      <name val="Calibri"/>
      <family val="2"/>
      <scheme val="minor"/>
    </font>
    <font>
      <sz val="8"/>
      <color rgb="FF000000"/>
      <name val="Calibri"/>
      <family val="2"/>
      <scheme val="minor"/>
    </font>
    <font>
      <i/>
      <sz val="10"/>
      <color rgb="FF000000"/>
      <name val="Calibri"/>
      <family val="2"/>
      <scheme val="minor"/>
    </font>
    <font>
      <sz val="10"/>
      <color rgb="FF0000FF"/>
      <name val="Calibri"/>
      <family val="2"/>
      <scheme val="minor"/>
    </font>
    <font>
      <b/>
      <sz val="10"/>
      <color rgb="FF0000FF"/>
      <name val="Calibri"/>
      <family val="2"/>
      <scheme val="minor"/>
    </font>
    <font>
      <b/>
      <sz val="10"/>
      <color rgb="FF000000"/>
      <name val="Calibri"/>
      <family val="2"/>
      <scheme val="minor"/>
    </font>
    <font>
      <b/>
      <sz val="12"/>
      <name val="Calibri"/>
      <family val="2"/>
    </font>
    <font>
      <b/>
      <sz val="12"/>
      <color indexed="60"/>
      <name val="Calibri"/>
      <family val="2"/>
    </font>
    <font>
      <vertAlign val="superscript"/>
      <sz val="10"/>
      <color rgb="FF000000"/>
      <name val="Calibri"/>
      <family val="2"/>
      <scheme val="minor"/>
    </font>
    <font>
      <b/>
      <sz val="11"/>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2">
    <xf numFmtId="0" fontId="0" fillId="0" borderId="0" xfId="0"/>
    <xf numFmtId="2" fontId="10" fillId="0" borderId="0" xfId="0" applyNumberFormat="1" applyFont="1" applyFill="1" applyBorder="1"/>
    <xf numFmtId="0" fontId="10" fillId="0" borderId="0" xfId="0" applyFont="1" applyFill="1" applyBorder="1" applyAlignment="1">
      <alignment horizontal="center"/>
    </xf>
    <xf numFmtId="10" fontId="10" fillId="0" borderId="0" xfId="0" applyNumberFormat="1" applyFont="1" applyFill="1" applyBorder="1" applyAlignment="1">
      <alignment horizontal="center"/>
    </xf>
    <xf numFmtId="0" fontId="10" fillId="0" borderId="0" xfId="0" applyFont="1" applyFill="1" applyBorder="1"/>
    <xf numFmtId="0" fontId="10" fillId="0" borderId="0" xfId="0" applyFont="1"/>
    <xf numFmtId="2" fontId="10" fillId="0" borderId="0" xfId="0" applyNumberFormat="1" applyFont="1"/>
    <xf numFmtId="10" fontId="10" fillId="0" borderId="0" xfId="2" applyNumberFormat="1" applyFont="1" applyBorder="1" applyAlignment="1">
      <alignment horizontal="center"/>
    </xf>
    <xf numFmtId="10" fontId="11" fillId="0" borderId="0" xfId="2" applyNumberFormat="1" applyFont="1" applyBorder="1" applyAlignment="1">
      <alignment horizontal="center"/>
    </xf>
    <xf numFmtId="0" fontId="12" fillId="0" borderId="0" xfId="0" applyFont="1" applyFill="1" applyBorder="1" applyAlignment="1">
      <alignment vertical="distributed"/>
    </xf>
    <xf numFmtId="0" fontId="10" fillId="0" borderId="0" xfId="0" applyFont="1" applyFill="1" applyAlignment="1">
      <alignment horizontal="center"/>
    </xf>
    <xf numFmtId="10" fontId="10" fillId="0" borderId="0" xfId="0" applyNumberFormat="1" applyFont="1" applyFill="1" applyAlignment="1">
      <alignment horizontal="center"/>
    </xf>
    <xf numFmtId="0" fontId="10" fillId="0" borderId="0" xfId="0" applyFont="1" applyFill="1"/>
    <xf numFmtId="0" fontId="10" fillId="0" borderId="0" xfId="0" applyFont="1" applyBorder="1" applyAlignment="1">
      <alignment horizontal="center"/>
    </xf>
    <xf numFmtId="18" fontId="10" fillId="0" borderId="0" xfId="1" applyNumberFormat="1" applyFont="1" applyBorder="1" applyAlignment="1">
      <alignment horizontal="center"/>
    </xf>
    <xf numFmtId="43" fontId="10" fillId="0" borderId="0" xfId="1" applyFont="1" applyFill="1" applyAlignment="1">
      <alignment horizontal="center"/>
    </xf>
    <xf numFmtId="43" fontId="10" fillId="0" borderId="0" xfId="0" applyNumberFormat="1" applyFont="1"/>
    <xf numFmtId="43" fontId="13" fillId="0" borderId="0" xfId="1" applyFont="1" applyFill="1" applyBorder="1" applyAlignment="1">
      <alignment horizontal="center"/>
    </xf>
    <xf numFmtId="43" fontId="10" fillId="0" borderId="0" xfId="1" applyFont="1" applyFill="1"/>
    <xf numFmtId="0" fontId="14" fillId="0" borderId="0" xfId="0" applyFont="1" applyFill="1"/>
    <xf numFmtId="0" fontId="10" fillId="0" borderId="0" xfId="0" applyFont="1" applyBorder="1"/>
    <xf numFmtId="43" fontId="10" fillId="0" borderId="0" xfId="1" applyFont="1" applyFill="1" applyBorder="1"/>
    <xf numFmtId="0" fontId="10" fillId="0" borderId="0" xfId="0" applyFont="1" applyBorder="1" applyAlignment="1">
      <alignment horizontal="right"/>
    </xf>
    <xf numFmtId="10" fontId="10" fillId="0" borderId="0" xfId="2" applyNumberFormat="1" applyFont="1" applyFill="1"/>
    <xf numFmtId="10" fontId="10" fillId="0" borderId="0" xfId="0" applyNumberFormat="1" applyFont="1" applyFill="1"/>
    <xf numFmtId="0" fontId="17" fillId="0" borderId="0" xfId="0" applyFont="1" applyAlignment="1">
      <alignment horizontal="right"/>
    </xf>
    <xf numFmtId="1" fontId="10" fillId="0" borderId="0" xfId="0" applyNumberFormat="1" applyFont="1" applyBorder="1" applyAlignment="1">
      <alignment horizontal="right"/>
    </xf>
    <xf numFmtId="0" fontId="10" fillId="0" borderId="0" xfId="0" applyFont="1" applyAlignment="1">
      <alignment horizontal="right"/>
    </xf>
    <xf numFmtId="0" fontId="15" fillId="0" borderId="0" xfId="0" applyFont="1" applyFill="1" applyBorder="1" applyAlignment="1">
      <alignment horizontal="center"/>
    </xf>
    <xf numFmtId="0" fontId="10" fillId="0" borderId="0" xfId="0" applyFont="1" applyFill="1" applyBorder="1" applyAlignment="1">
      <alignment horizontal="right"/>
    </xf>
    <xf numFmtId="43" fontId="10" fillId="0" borderId="0" xfId="0" applyNumberFormat="1" applyFont="1" applyFill="1" applyBorder="1"/>
    <xf numFmtId="10" fontId="10" fillId="0" borderId="0" xfId="2" applyNumberFormat="1" applyFont="1" applyFill="1" applyBorder="1" applyAlignment="1">
      <alignment horizontal="center"/>
    </xf>
    <xf numFmtId="43" fontId="16" fillId="0" borderId="0" xfId="1" applyFont="1" applyFill="1" applyBorder="1"/>
    <xf numFmtId="0" fontId="15" fillId="0" borderId="0" xfId="0" applyFont="1" applyFill="1" applyAlignment="1">
      <alignment horizontal="center"/>
    </xf>
    <xf numFmtId="43" fontId="16" fillId="0" borderId="0" xfId="1" applyFont="1" applyFill="1" applyAlignment="1">
      <alignment horizontal="right"/>
    </xf>
    <xf numFmtId="0" fontId="16" fillId="0" borderId="0" xfId="0" applyFont="1" applyFill="1" applyBorder="1"/>
    <xf numFmtId="43" fontId="10" fillId="0" borderId="0" xfId="0" applyNumberFormat="1" applyFont="1" applyFill="1"/>
    <xf numFmtId="171" fontId="10" fillId="0" borderId="0" xfId="0" applyNumberFormat="1" applyFont="1" applyFill="1" applyBorder="1"/>
    <xf numFmtId="0" fontId="15" fillId="0" borderId="0" xfId="0" applyFont="1" applyBorder="1"/>
    <xf numFmtId="0" fontId="15" fillId="0" borderId="0" xfId="0" applyFont="1" applyFill="1" applyBorder="1" applyAlignment="1">
      <alignment horizontal="left"/>
    </xf>
    <xf numFmtId="43" fontId="10" fillId="0" borderId="0" xfId="1" applyFont="1" applyFill="1" applyBorder="1" applyAlignment="1">
      <alignment horizontal="center"/>
    </xf>
    <xf numFmtId="169" fontId="10" fillId="0" borderId="0" xfId="1" applyNumberFormat="1" applyFont="1" applyFill="1" applyBorder="1" applyAlignment="1">
      <alignment horizontal="center"/>
    </xf>
    <xf numFmtId="43" fontId="15" fillId="0" borderId="0" xfId="1" applyFont="1" applyFill="1" applyBorder="1" applyAlignment="1"/>
    <xf numFmtId="0" fontId="10" fillId="0" borderId="0" xfId="0" applyFont="1" applyFill="1" applyBorder="1" applyAlignment="1">
      <alignment horizontal="left"/>
    </xf>
    <xf numFmtId="169" fontId="10" fillId="0" borderId="0" xfId="0" applyNumberFormat="1" applyFont="1" applyBorder="1"/>
    <xf numFmtId="0" fontId="21" fillId="0" borderId="0" xfId="0" applyFont="1" applyBorder="1"/>
    <xf numFmtId="49" fontId="22" fillId="0" borderId="0" xfId="0" applyNumberFormat="1" applyFont="1"/>
    <xf numFmtId="10" fontId="10" fillId="0" borderId="0" xfId="0" applyNumberFormat="1" applyFont="1"/>
    <xf numFmtId="10" fontId="10" fillId="0" borderId="0" xfId="0" applyNumberFormat="1" applyFont="1" applyFill="1" applyBorder="1"/>
    <xf numFmtId="10" fontId="18" fillId="0" borderId="0" xfId="2" applyNumberFormat="1" applyFont="1" applyFill="1" applyBorder="1" applyAlignment="1">
      <alignment horizontal="center"/>
    </xf>
    <xf numFmtId="164" fontId="18" fillId="0" borderId="0" xfId="1" applyNumberFormat="1" applyFont="1" applyFill="1" applyBorder="1" applyAlignment="1">
      <alignment horizontal="center"/>
    </xf>
    <xf numFmtId="165" fontId="10" fillId="0" borderId="0" xfId="0" applyNumberFormat="1" applyFont="1" applyFill="1" applyBorder="1"/>
    <xf numFmtId="49" fontId="10" fillId="0" borderId="0" xfId="0" applyNumberFormat="1" applyFont="1" applyFill="1" applyBorder="1"/>
    <xf numFmtId="164" fontId="15" fillId="0" borderId="0" xfId="0" applyNumberFormat="1" applyFont="1" applyFill="1" applyBorder="1"/>
    <xf numFmtId="164" fontId="15" fillId="0" borderId="0" xfId="0" applyNumberFormat="1" applyFont="1" applyFill="1" applyBorder="1" applyAlignment="1">
      <alignment horizontal="center"/>
    </xf>
    <xf numFmtId="164" fontId="23" fillId="0" borderId="0" xfId="0" applyNumberFormat="1" applyFont="1" applyFill="1" applyBorder="1"/>
    <xf numFmtId="0" fontId="24" fillId="0" borderId="0" xfId="0" applyFont="1" applyFill="1" applyBorder="1"/>
    <xf numFmtId="0" fontId="10" fillId="0" borderId="15"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right"/>
    </xf>
    <xf numFmtId="0" fontId="10" fillId="0" borderId="10"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center"/>
    </xf>
    <xf numFmtId="164" fontId="11" fillId="0" borderId="3" xfId="1" applyNumberFormat="1" applyFont="1" applyFill="1" applyBorder="1"/>
    <xf numFmtId="164" fontId="12" fillId="0" borderId="3" xfId="1" applyNumberFormat="1" applyFont="1" applyFill="1" applyBorder="1"/>
    <xf numFmtId="164" fontId="11" fillId="0" borderId="0" xfId="1" applyNumberFormat="1" applyFont="1" applyFill="1" applyBorder="1"/>
    <xf numFmtId="164" fontId="12" fillId="0" borderId="0" xfId="1" applyNumberFormat="1" applyFont="1" applyFill="1" applyBorder="1"/>
    <xf numFmtId="43" fontId="25" fillId="0" borderId="3" xfId="1" applyFont="1" applyBorder="1"/>
    <xf numFmtId="0" fontId="12" fillId="0" borderId="0" xfId="0" applyFont="1" applyBorder="1" applyAlignment="1">
      <alignment horizontal="right"/>
    </xf>
    <xf numFmtId="43" fontId="10" fillId="0" borderId="0" xfId="1" applyFont="1" applyBorder="1"/>
    <xf numFmtId="0" fontId="15" fillId="0" borderId="0" xfId="0" applyFont="1" applyBorder="1" applyAlignment="1">
      <alignment horizontal="center"/>
    </xf>
    <xf numFmtId="165" fontId="10" fillId="0" borderId="0" xfId="0" applyNumberFormat="1" applyFont="1" applyFill="1" applyBorder="1" applyAlignment="1">
      <alignment horizontal="center"/>
    </xf>
    <xf numFmtId="0" fontId="10" fillId="0" borderId="0" xfId="0" applyFont="1" applyBorder="1" applyAlignment="1">
      <alignment horizontal="left"/>
    </xf>
    <xf numFmtId="0" fontId="10" fillId="0" borderId="0" xfId="0" applyFont="1" applyBorder="1" applyAlignment="1">
      <alignment horizontal="left" vertical="center"/>
    </xf>
    <xf numFmtId="0" fontId="26" fillId="0" borderId="0" xfId="0" applyFont="1"/>
    <xf numFmtId="9" fontId="10" fillId="0" borderId="0" xfId="0" applyNumberFormat="1" applyFont="1" applyBorder="1"/>
    <xf numFmtId="0" fontId="10" fillId="0" borderId="26" xfId="0" applyFont="1" applyBorder="1"/>
    <xf numFmtId="0" fontId="10" fillId="0" borderId="0" xfId="0" applyFont="1" applyFill="1" applyAlignment="1">
      <alignment horizontal="left" vertical="center"/>
    </xf>
    <xf numFmtId="0" fontId="10" fillId="0" borderId="0" xfId="0" applyFont="1" applyAlignment="1">
      <alignment horizontal="left" vertical="center"/>
    </xf>
    <xf numFmtId="0" fontId="10" fillId="0" borderId="0" xfId="0" applyFont="1" applyFill="1" applyBorder="1" applyAlignment="1"/>
    <xf numFmtId="0" fontId="10" fillId="0" borderId="0" xfId="0" applyFont="1" applyAlignment="1">
      <alignment horizontal="center" vertical="center"/>
    </xf>
    <xf numFmtId="0" fontId="15" fillId="0" borderId="3" xfId="0" applyFont="1" applyFill="1" applyBorder="1" applyAlignment="1">
      <alignment horizontal="center" vertical="center" wrapText="1"/>
    </xf>
    <xf numFmtId="2" fontId="10" fillId="0" borderId="3" xfId="1" applyNumberFormat="1" applyFont="1" applyBorder="1" applyAlignment="1">
      <alignment horizontal="center" vertical="center" wrapText="1"/>
    </xf>
    <xf numFmtId="2" fontId="10" fillId="0" borderId="3" xfId="1" applyNumberFormat="1" applyFont="1" applyFill="1" applyBorder="1" applyAlignment="1">
      <alignment horizontal="center" vertical="center" wrapText="1"/>
    </xf>
    <xf numFmtId="2" fontId="10" fillId="0" borderId="5" xfId="1" applyNumberFormat="1" applyFont="1" applyFill="1" applyBorder="1" applyAlignment="1">
      <alignment horizontal="center" vertical="center" wrapText="1"/>
    </xf>
    <xf numFmtId="0" fontId="10" fillId="0" borderId="13" xfId="0" applyFont="1" applyBorder="1"/>
    <xf numFmtId="0" fontId="10" fillId="0" borderId="13" xfId="0" applyFont="1" applyFill="1" applyBorder="1"/>
    <xf numFmtId="0" fontId="10" fillId="0" borderId="27" xfId="0" applyFont="1" applyFill="1" applyBorder="1"/>
    <xf numFmtId="0" fontId="15" fillId="0" borderId="0" xfId="0" applyFont="1" applyBorder="1" applyAlignment="1">
      <alignment horizontal="left" vertical="center"/>
    </xf>
    <xf numFmtId="164" fontId="15" fillId="0" borderId="0" xfId="1" applyNumberFormat="1" applyFont="1" applyFill="1" applyBorder="1" applyAlignment="1"/>
    <xf numFmtId="164" fontId="28" fillId="0" borderId="0" xfId="1" applyNumberFormat="1" applyFont="1" applyFill="1" applyBorder="1" applyAlignment="1"/>
    <xf numFmtId="164" fontId="27" fillId="0" borderId="0" xfId="0" applyNumberFormat="1" applyFont="1" applyFill="1" applyBorder="1" applyAlignment="1">
      <alignment horizontal="left"/>
    </xf>
    <xf numFmtId="2" fontId="10" fillId="0" borderId="0" xfId="0" applyNumberFormat="1" applyFont="1" applyBorder="1"/>
    <xf numFmtId="0" fontId="18" fillId="0" borderId="0" xfId="0" applyFont="1" applyFill="1" applyBorder="1" applyAlignment="1">
      <alignment horizontal="right"/>
    </xf>
    <xf numFmtId="0" fontId="22" fillId="0" borderId="0" xfId="0" applyFont="1" applyBorder="1" applyAlignment="1">
      <alignment vertical="distributed"/>
    </xf>
    <xf numFmtId="0" fontId="10" fillId="0" borderId="3" xfId="0" applyFont="1" applyBorder="1" applyAlignment="1">
      <alignment horizontal="center" vertical="center"/>
    </xf>
    <xf numFmtId="9" fontId="10" fillId="5" borderId="3" xfId="0" applyNumberFormat="1" applyFont="1" applyFill="1" applyBorder="1" applyAlignment="1">
      <alignment horizontal="center" vertical="center"/>
    </xf>
    <xf numFmtId="0" fontId="11" fillId="0" borderId="0" xfId="0" applyFont="1" applyBorder="1" applyAlignment="1">
      <alignment vertical="center" wrapText="1"/>
    </xf>
    <xf numFmtId="165" fontId="10" fillId="0" borderId="0" xfId="0" applyNumberFormat="1"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43" fontId="10" fillId="0" borderId="0" xfId="1" applyFont="1" applyFill="1" applyBorder="1" applyAlignment="1">
      <alignment horizontal="center" vertical="center" wrapText="1"/>
    </xf>
    <xf numFmtId="0" fontId="15" fillId="0" borderId="0" xfId="0" applyFont="1" applyAlignment="1">
      <alignment horizontal="left" vertical="center"/>
    </xf>
    <xf numFmtId="43"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0" fontId="10" fillId="0" borderId="0" xfId="2" applyNumberFormat="1" applyFont="1" applyFill="1" applyBorder="1" applyAlignment="1">
      <alignment horizontal="center" vertical="center" wrapText="1"/>
    </xf>
    <xf numFmtId="43" fontId="15" fillId="0" borderId="4" xfId="1" applyFont="1" applyFill="1" applyBorder="1" applyAlignment="1">
      <alignment horizontal="center" vertical="center" wrapText="1"/>
    </xf>
    <xf numFmtId="43" fontId="15" fillId="0" borderId="4" xfId="1" applyFont="1" applyBorder="1" applyAlignment="1">
      <alignment horizontal="center" vertical="center" wrapText="1"/>
    </xf>
    <xf numFmtId="176" fontId="10" fillId="0" borderId="3" xfId="1" applyNumberFormat="1" applyFont="1" applyFill="1" applyBorder="1" applyAlignment="1">
      <alignment horizontal="center" vertical="center"/>
    </xf>
    <xf numFmtId="2" fontId="15" fillId="0" borderId="3" xfId="0" applyNumberFormat="1" applyFont="1" applyFill="1" applyBorder="1" applyAlignment="1">
      <alignment horizontal="center" vertical="center" wrapText="1"/>
    </xf>
    <xf numFmtId="167" fontId="15" fillId="0" borderId="3" xfId="2" applyNumberFormat="1" applyFont="1" applyFill="1" applyBorder="1" applyAlignment="1">
      <alignment horizontal="center" vertical="center" wrapText="1"/>
    </xf>
    <xf numFmtId="43" fontId="15"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165" fontId="10" fillId="0"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8" fontId="10" fillId="0" borderId="0" xfId="1" applyNumberFormat="1" applyFont="1" applyFill="1" applyBorder="1" applyAlignment="1">
      <alignment horizontal="center" vertical="center" wrapText="1"/>
    </xf>
    <xf numFmtId="171" fontId="10" fillId="0" borderId="0"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72" fontId="10" fillId="0" borderId="0" xfId="0" applyNumberFormat="1" applyFont="1" applyFill="1" applyAlignment="1">
      <alignment horizontal="center" vertical="center" wrapText="1"/>
    </xf>
    <xf numFmtId="43" fontId="10" fillId="0" borderId="0" xfId="1" applyFont="1" applyBorder="1" applyAlignment="1">
      <alignment horizontal="center"/>
    </xf>
    <xf numFmtId="169" fontId="10" fillId="0" borderId="0" xfId="1" applyNumberFormat="1" applyFont="1" applyBorder="1" applyAlignment="1">
      <alignment horizontal="center"/>
    </xf>
    <xf numFmtId="10" fontId="15" fillId="0" borderId="0" xfId="2" applyNumberFormat="1" applyFont="1" applyFill="1" applyBorder="1" applyAlignment="1"/>
    <xf numFmtId="0" fontId="23" fillId="0" borderId="0" xfId="0" applyFont="1"/>
    <xf numFmtId="0" fontId="15" fillId="0" borderId="3" xfId="0" applyFont="1" applyBorder="1" applyAlignment="1">
      <alignment horizontal="center" vertical="center" wrapText="1"/>
    </xf>
    <xf numFmtId="0" fontId="15" fillId="0" borderId="4" xfId="0" applyFont="1" applyFill="1" applyBorder="1" applyAlignment="1">
      <alignment horizontal="center" vertical="center" wrapText="1"/>
    </xf>
    <xf numFmtId="0" fontId="10" fillId="0" borderId="0" xfId="0" applyFont="1" applyFill="1" applyBorder="1" applyAlignment="1">
      <alignment horizontal="center" vertical="center" textRotation="90" wrapText="1"/>
    </xf>
    <xf numFmtId="0" fontId="10" fillId="0" borderId="15" xfId="0" applyFont="1" applyFill="1" applyBorder="1" applyAlignment="1">
      <alignment horizontal="center" vertical="center" wrapText="1"/>
    </xf>
    <xf numFmtId="43" fontId="19" fillId="0" borderId="13" xfId="1" applyFont="1" applyFill="1" applyBorder="1" applyAlignment="1">
      <alignment horizontal="right"/>
    </xf>
    <xf numFmtId="0" fontId="10" fillId="0" borderId="13" xfId="0" applyFont="1" applyFill="1" applyBorder="1" applyAlignment="1">
      <alignment horizontal="left"/>
    </xf>
    <xf numFmtId="169" fontId="10" fillId="0" borderId="13" xfId="1" applyNumberFormat="1" applyFont="1" applyFill="1" applyBorder="1" applyAlignment="1">
      <alignment horizontal="center"/>
    </xf>
    <xf numFmtId="43" fontId="10" fillId="0" borderId="13" xfId="1" applyFont="1" applyFill="1" applyBorder="1" applyAlignment="1">
      <alignment horizontal="center"/>
    </xf>
    <xf numFmtId="43" fontId="15" fillId="0" borderId="13" xfId="1" applyFont="1" applyFill="1" applyBorder="1" applyAlignment="1"/>
    <xf numFmtId="43" fontId="15" fillId="0" borderId="26" xfId="1" applyFont="1" applyFill="1" applyBorder="1" applyAlignment="1"/>
    <xf numFmtId="0" fontId="10" fillId="0" borderId="15" xfId="0" applyFont="1" applyFill="1" applyBorder="1"/>
    <xf numFmtId="164" fontId="15" fillId="0" borderId="3" xfId="0" applyNumberFormat="1" applyFont="1" applyFill="1" applyBorder="1" applyAlignment="1">
      <alignment horizontal="center"/>
    </xf>
    <xf numFmtId="1" fontId="15" fillId="0" borderId="3" xfId="0" applyNumberFormat="1" applyFont="1" applyFill="1" applyBorder="1" applyAlignment="1">
      <alignment horizontal="center"/>
    </xf>
    <xf numFmtId="10" fontId="15" fillId="0" borderId="3" xfId="2" applyNumberFormat="1" applyFont="1" applyBorder="1" applyAlignment="1">
      <alignment horizontal="center"/>
    </xf>
    <xf numFmtId="43" fontId="15" fillId="0" borderId="3" xfId="1" applyFont="1" applyBorder="1" applyAlignment="1">
      <alignment horizontal="center"/>
    </xf>
    <xf numFmtId="43" fontId="15" fillId="0" borderId="3" xfId="0" applyNumberFormat="1" applyFont="1" applyBorder="1" applyAlignment="1">
      <alignment horizontal="center"/>
    </xf>
    <xf numFmtId="0" fontId="15" fillId="0" borderId="3" xfId="0" applyFont="1" applyBorder="1" applyAlignment="1">
      <alignment horizontal="center"/>
    </xf>
    <xf numFmtId="1" fontId="10" fillId="0" borderId="12" xfId="0" applyNumberFormat="1" applyFont="1" applyFill="1" applyBorder="1" applyAlignment="1">
      <alignment horizontal="center" vertical="center" wrapText="1"/>
    </xf>
    <xf numFmtId="43" fontId="15" fillId="0" borderId="27" xfId="1" applyFont="1" applyFill="1" applyBorder="1" applyAlignment="1"/>
    <xf numFmtId="10" fontId="10" fillId="0" borderId="12" xfId="2" applyNumberFormat="1" applyFont="1" applyFill="1" applyBorder="1"/>
    <xf numFmtId="0" fontId="10" fillId="0" borderId="27" xfId="0" applyFont="1" applyBorder="1"/>
    <xf numFmtId="2" fontId="10" fillId="0" borderId="12" xfId="1" applyNumberFormat="1" applyFont="1" applyFill="1" applyBorder="1" applyAlignment="1">
      <alignment horizontal="center" vertical="center" wrapText="1"/>
    </xf>
    <xf numFmtId="173" fontId="10" fillId="0" borderId="12" xfId="0" applyNumberFormat="1" applyFont="1" applyBorder="1"/>
    <xf numFmtId="167" fontId="10" fillId="0" borderId="12" xfId="2" applyNumberFormat="1" applyFont="1" applyFill="1" applyBorder="1" applyAlignment="1">
      <alignment horizontal="center" vertical="center" wrapText="1"/>
    </xf>
    <xf numFmtId="165" fontId="15" fillId="0" borderId="12" xfId="1" applyNumberFormat="1" applyFont="1" applyFill="1" applyBorder="1"/>
    <xf numFmtId="0" fontId="15" fillId="0" borderId="0" xfId="0" applyFont="1" applyAlignment="1">
      <alignment horizontal="left"/>
    </xf>
    <xf numFmtId="174" fontId="10" fillId="0" borderId="12" xfId="0" applyNumberFormat="1" applyFont="1" applyFill="1" applyBorder="1" applyAlignment="1">
      <alignment horizontal="center" vertical="center" wrapText="1"/>
    </xf>
    <xf numFmtId="166" fontId="10" fillId="2" borderId="12" xfId="1" applyNumberFormat="1" applyFont="1" applyFill="1" applyBorder="1"/>
    <xf numFmtId="10" fontId="10" fillId="6" borderId="12" xfId="2" applyNumberFormat="1" applyFont="1" applyFill="1" applyBorder="1" applyAlignment="1">
      <alignment horizontal="center" vertical="center" wrapText="1"/>
    </xf>
    <xf numFmtId="10" fontId="20" fillId="0" borderId="12" xfId="0" applyNumberFormat="1" applyFont="1" applyBorder="1"/>
    <xf numFmtId="10" fontId="10" fillId="0" borderId="10" xfId="2" applyNumberFormat="1" applyFont="1" applyBorder="1" applyAlignment="1">
      <alignment horizontal="center" vertical="center" wrapText="1"/>
    </xf>
    <xf numFmtId="0" fontId="21" fillId="0" borderId="11" xfId="0" applyFont="1" applyBorder="1"/>
    <xf numFmtId="0" fontId="10" fillId="0" borderId="11" xfId="0" applyFont="1" applyBorder="1"/>
    <xf numFmtId="170" fontId="10" fillId="0" borderId="11" xfId="0" applyNumberFormat="1" applyFont="1" applyBorder="1"/>
    <xf numFmtId="0" fontId="10" fillId="0" borderId="30" xfId="0" applyFont="1" applyBorder="1"/>
    <xf numFmtId="0" fontId="10" fillId="0" borderId="10" xfId="0" applyFont="1" applyFill="1" applyBorder="1"/>
    <xf numFmtId="0" fontId="10" fillId="0" borderId="11" xfId="0" applyFont="1" applyFill="1" applyBorder="1"/>
    <xf numFmtId="0" fontId="10" fillId="0" borderId="30" xfId="0" applyFont="1" applyFill="1" applyBorder="1"/>
    <xf numFmtId="1" fontId="10" fillId="0" borderId="0" xfId="0" applyNumberFormat="1" applyFont="1" applyAlignment="1">
      <alignment horizontal="center" vertical="center" wrapText="1"/>
    </xf>
    <xf numFmtId="2" fontId="10" fillId="0" borderId="0" xfId="0" applyNumberFormat="1" applyFont="1" applyAlignment="1">
      <alignment horizontal="center" vertical="center" wrapText="1"/>
    </xf>
    <xf numFmtId="0" fontId="10" fillId="0" borderId="13" xfId="0" applyFont="1" applyFill="1" applyBorder="1" applyAlignment="1">
      <alignment horizontal="right"/>
    </xf>
    <xf numFmtId="175" fontId="10" fillId="0" borderId="13" xfId="1" applyNumberFormat="1" applyFont="1" applyBorder="1" applyAlignment="1">
      <alignment horizontal="center" vertical="center"/>
    </xf>
    <xf numFmtId="2" fontId="10" fillId="0" borderId="13" xfId="0" applyNumberFormat="1" applyFont="1" applyBorder="1"/>
    <xf numFmtId="10" fontId="18" fillId="0" borderId="0" xfId="2" applyNumberFormat="1" applyFont="1" applyFill="1" applyBorder="1" applyAlignment="1">
      <alignment horizontal="right"/>
    </xf>
    <xf numFmtId="1" fontId="31" fillId="0" borderId="0" xfId="0" applyNumberFormat="1" applyFont="1" applyFill="1" applyBorder="1" applyAlignment="1">
      <alignment horizontal="center"/>
    </xf>
    <xf numFmtId="43" fontId="15" fillId="0" borderId="12" xfId="1" applyFont="1" applyFill="1" applyBorder="1" applyAlignment="1">
      <alignment horizontal="center" vertical="center" wrapText="1"/>
    </xf>
    <xf numFmtId="0" fontId="13" fillId="0" borderId="0" xfId="0" applyFont="1" applyFill="1" applyBorder="1"/>
    <xf numFmtId="43" fontId="10" fillId="0" borderId="0" xfId="1" applyFont="1" applyFill="1" applyBorder="1" applyAlignment="1"/>
    <xf numFmtId="0" fontId="10" fillId="0" borderId="12" xfId="0" applyFont="1" applyBorder="1" applyAlignment="1">
      <alignment horizontal="center" vertical="center" wrapText="1"/>
    </xf>
    <xf numFmtId="49" fontId="10" fillId="0" borderId="0" xfId="0" applyNumberFormat="1" applyFont="1" applyBorder="1" applyAlignment="1">
      <alignment horizontal="center"/>
    </xf>
    <xf numFmtId="43" fontId="10" fillId="0" borderId="0" xfId="0" applyNumberFormat="1" applyFont="1" applyFill="1" applyBorder="1" applyAlignment="1">
      <alignment horizontal="left" vertical="center"/>
    </xf>
    <xf numFmtId="49" fontId="30" fillId="0" borderId="0" xfId="0" applyNumberFormat="1" applyFont="1" applyFill="1" applyBorder="1" applyAlignment="1">
      <alignment horizontal="center" vertical="center" wrapText="1"/>
    </xf>
    <xf numFmtId="49" fontId="30" fillId="0" borderId="0" xfId="0" applyNumberFormat="1" applyFont="1" applyFill="1" applyBorder="1"/>
    <xf numFmtId="43" fontId="10" fillId="0" borderId="11" xfId="1" applyFont="1" applyFill="1" applyBorder="1" applyAlignment="1">
      <alignment horizontal="center"/>
    </xf>
    <xf numFmtId="43" fontId="15" fillId="0" borderId="11" xfId="1" applyFont="1" applyFill="1" applyBorder="1" applyAlignment="1"/>
    <xf numFmtId="0" fontId="30" fillId="0" borderId="0" xfId="0" applyFont="1" applyFill="1" applyBorder="1" applyAlignment="1">
      <alignment horizontal="right" vertical="center"/>
    </xf>
    <xf numFmtId="1" fontId="30" fillId="0" borderId="0" xfId="0" applyNumberFormat="1" applyFont="1" applyFill="1" applyBorder="1" applyAlignment="1">
      <alignment horizontal="center"/>
    </xf>
    <xf numFmtId="49" fontId="10" fillId="0" borderId="0" xfId="0" applyNumberFormat="1" applyFont="1" applyFill="1" applyBorder="1" applyAlignment="1">
      <alignment horizontal="center" vertical="center" wrapText="1"/>
    </xf>
    <xf numFmtId="43" fontId="13" fillId="0" borderId="0" xfId="1" applyFont="1" applyFill="1" applyBorder="1" applyAlignment="1">
      <alignment horizontal="center" vertical="center" wrapText="1"/>
    </xf>
    <xf numFmtId="43" fontId="15" fillId="0" borderId="0" xfId="1"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12" fillId="0" borderId="0" xfId="0" applyFont="1" applyAlignment="1">
      <alignment horizontal="left" vertical="center"/>
    </xf>
    <xf numFmtId="0" fontId="11" fillId="0" borderId="3" xfId="0" applyFont="1" applyBorder="1" applyAlignment="1">
      <alignment horizontal="left" vertical="center"/>
    </xf>
    <xf numFmtId="0" fontId="10" fillId="0" borderId="3" xfId="0" applyFont="1" applyFill="1" applyBorder="1" applyAlignment="1">
      <alignment horizontal="center" vertical="center" wrapText="1"/>
    </xf>
    <xf numFmtId="0" fontId="27" fillId="0" borderId="3" xfId="0" applyFont="1" applyFill="1" applyBorder="1" applyAlignment="1">
      <alignment horizontal="right" vertical="center"/>
    </xf>
    <xf numFmtId="43" fontId="10" fillId="0" borderId="3" xfId="1" applyFont="1" applyFill="1" applyBorder="1" applyAlignment="1">
      <alignment horizontal="center" vertical="center" wrapText="1"/>
    </xf>
    <xf numFmtId="0" fontId="16" fillId="0" borderId="3" xfId="0" applyFont="1" applyBorder="1" applyAlignment="1">
      <alignment horizontal="left"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4" xfId="0" applyFont="1" applyBorder="1" applyAlignment="1">
      <alignment horizontal="right" vertical="center"/>
    </xf>
    <xf numFmtId="164" fontId="15" fillId="0" borderId="3" xfId="0" applyNumberFormat="1" applyFont="1" applyBorder="1" applyAlignment="1">
      <alignment horizontal="center" vertical="center" wrapText="1"/>
    </xf>
    <xf numFmtId="0" fontId="11" fillId="0" borderId="0" xfId="0" applyFont="1" applyAlignment="1">
      <alignment horizontal="left" vertical="center"/>
    </xf>
    <xf numFmtId="0" fontId="15" fillId="0" borderId="0" xfId="0" applyFont="1" applyBorder="1" applyAlignment="1">
      <alignment horizontal="right" vertical="center"/>
    </xf>
    <xf numFmtId="164" fontId="10" fillId="0" borderId="0" xfId="1" applyNumberFormat="1" applyFont="1" applyAlignment="1">
      <alignment horizontal="center" vertical="center" wrapText="1"/>
    </xf>
    <xf numFmtId="43" fontId="15" fillId="0" borderId="0" xfId="1" applyFont="1" applyAlignment="1">
      <alignment horizontal="center" vertical="center" wrapText="1"/>
    </xf>
    <xf numFmtId="164" fontId="10" fillId="0" borderId="0" xfId="0" applyNumberFormat="1" applyFont="1" applyAlignment="1">
      <alignment horizontal="center" vertical="center" wrapText="1"/>
    </xf>
    <xf numFmtId="43" fontId="10" fillId="6" borderId="0" xfId="0" applyNumberFormat="1" applyFont="1" applyFill="1" applyAlignment="1">
      <alignment horizontal="center" vertical="center" wrapText="1"/>
    </xf>
    <xf numFmtId="43" fontId="15" fillId="0" borderId="3" xfId="0" applyNumberFormat="1" applyFont="1" applyBorder="1"/>
    <xf numFmtId="43" fontId="10" fillId="0" borderId="0" xfId="0" applyNumberFormat="1" applyFont="1" applyAlignment="1">
      <alignment horizontal="center" vertical="center" wrapText="1"/>
    </xf>
    <xf numFmtId="171" fontId="10" fillId="0" borderId="0" xfId="0" applyNumberFormat="1" applyFont="1" applyAlignment="1">
      <alignment horizontal="center" vertical="center" wrapText="1"/>
    </xf>
    <xf numFmtId="0" fontId="10" fillId="0" borderId="3" xfId="0" applyFont="1" applyFill="1" applyBorder="1" applyAlignment="1">
      <alignment horizontal="left" vertical="center"/>
    </xf>
    <xf numFmtId="165" fontId="15" fillId="6" borderId="3" xfId="1" applyNumberFormat="1" applyFont="1" applyFill="1" applyBorder="1"/>
    <xf numFmtId="169" fontId="10" fillId="0" borderId="0" xfId="0" applyNumberFormat="1" applyFont="1" applyFill="1" applyBorder="1" applyAlignment="1">
      <alignment horizontal="center" vertical="center" wrapText="1"/>
    </xf>
    <xf numFmtId="9" fontId="10" fillId="0" borderId="0" xfId="2" applyFont="1" applyFill="1" applyBorder="1" applyAlignment="1">
      <alignment horizontal="center" vertical="center" wrapText="1"/>
    </xf>
    <xf numFmtId="49" fontId="10" fillId="0" borderId="15" xfId="0" applyNumberFormat="1"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15"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center" vertical="center" wrapText="1"/>
    </xf>
    <xf numFmtId="49" fontId="10" fillId="0" borderId="12" xfId="0" applyNumberFormat="1" applyFont="1" applyFill="1" applyBorder="1" applyAlignment="1">
      <alignment horizontal="left" vertical="center"/>
    </xf>
    <xf numFmtId="164" fontId="10" fillId="0" borderId="0" xfId="0" applyNumberFormat="1" applyFont="1" applyFill="1" applyBorder="1"/>
    <xf numFmtId="1" fontId="10" fillId="0" borderId="0"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49" fontId="10" fillId="0" borderId="12" xfId="0" applyNumberFormat="1" applyFont="1" applyFill="1" applyBorder="1"/>
    <xf numFmtId="165" fontId="10" fillId="0" borderId="0" xfId="0" applyNumberFormat="1" applyFont="1" applyFill="1" applyBorder="1" applyAlignment="1">
      <alignment horizontal="center" vertical="center"/>
    </xf>
    <xf numFmtId="10" fontId="10" fillId="0" borderId="27" xfId="0" applyNumberFormat="1" applyFont="1" applyFill="1" applyBorder="1" applyAlignment="1">
      <alignment horizontal="center" vertical="center" wrapText="1"/>
    </xf>
    <xf numFmtId="49" fontId="10" fillId="0" borderId="3" xfId="0" applyNumberFormat="1" applyFont="1" applyFill="1" applyBorder="1" applyAlignment="1">
      <alignment horizontal="center"/>
    </xf>
    <xf numFmtId="49" fontId="10" fillId="0" borderId="3" xfId="0" applyNumberFormat="1" applyFont="1" applyFill="1" applyBorder="1" applyAlignment="1">
      <alignment horizontal="center" vertical="center" wrapText="1"/>
    </xf>
    <xf numFmtId="0" fontId="10" fillId="0" borderId="12" xfId="0" applyFont="1" applyFill="1" applyBorder="1" applyAlignment="1">
      <alignment horizontal="left" vertical="center"/>
    </xf>
    <xf numFmtId="0" fontId="10" fillId="0" borderId="3" xfId="0" applyFont="1" applyFill="1" applyBorder="1" applyAlignment="1">
      <alignment horizontal="center"/>
    </xf>
    <xf numFmtId="0" fontId="10" fillId="0" borderId="12" xfId="0" applyFont="1" applyFill="1" applyBorder="1"/>
    <xf numFmtId="49" fontId="10" fillId="0" borderId="10" xfId="0" applyNumberFormat="1"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30" xfId="0" applyFont="1" applyFill="1" applyBorder="1" applyAlignment="1">
      <alignment horizontal="center" vertical="center" wrapText="1"/>
    </xf>
    <xf numFmtId="49" fontId="10" fillId="0" borderId="10" xfId="0" applyNumberFormat="1" applyFont="1" applyFill="1" applyBorder="1"/>
    <xf numFmtId="0" fontId="10" fillId="0" borderId="11" xfId="0" applyFont="1" applyBorder="1" applyAlignment="1">
      <alignment horizontal="center" vertical="center" wrapText="1"/>
    </xf>
    <xf numFmtId="49" fontId="15" fillId="3" borderId="3"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0" fillId="0" borderId="0" xfId="0" applyFont="1" applyAlignment="1">
      <alignment vertical="center" wrapText="1"/>
    </xf>
    <xf numFmtId="165" fontId="10" fillId="0" borderId="0" xfId="0" applyNumberFormat="1" applyFont="1" applyAlignment="1">
      <alignment vertical="center"/>
    </xf>
    <xf numFmtId="174" fontId="10" fillId="0" borderId="3" xfId="0" applyNumberFormat="1" applyFont="1" applyBorder="1" applyAlignment="1">
      <alignment horizontal="center" vertical="center"/>
    </xf>
    <xf numFmtId="10" fontId="10" fillId="0" borderId="3" xfId="2" applyNumberFormat="1" applyFont="1" applyBorder="1" applyAlignment="1">
      <alignment horizontal="center" vertical="center" wrapText="1"/>
    </xf>
    <xf numFmtId="10" fontId="10" fillId="0" borderId="0" xfId="0" applyNumberFormat="1" applyFont="1" applyBorder="1" applyAlignment="1">
      <alignment horizontal="center" vertical="center" wrapText="1"/>
    </xf>
    <xf numFmtId="43" fontId="10" fillId="0" borderId="0" xfId="1" applyFont="1" applyBorder="1" applyAlignment="1">
      <alignment horizontal="center" vertical="center" wrapText="1"/>
    </xf>
    <xf numFmtId="0" fontId="10" fillId="7" borderId="8" xfId="0" applyFont="1" applyFill="1" applyBorder="1" applyAlignment="1">
      <alignment horizontal="left" vertical="center" wrapText="1"/>
    </xf>
    <xf numFmtId="0" fontId="15" fillId="7" borderId="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30" fillId="7" borderId="21" xfId="0" applyFont="1" applyFill="1" applyBorder="1" applyAlignment="1">
      <alignment horizontal="left" vertical="center"/>
    </xf>
    <xf numFmtId="0" fontId="30" fillId="7" borderId="28" xfId="0" applyFont="1" applyFill="1" applyBorder="1" applyAlignment="1">
      <alignment horizontal="left" vertical="center"/>
    </xf>
    <xf numFmtId="0" fontId="30" fillId="7" borderId="22" xfId="0" applyFont="1" applyFill="1" applyBorder="1" applyAlignment="1">
      <alignment horizontal="left" vertical="center"/>
    </xf>
    <xf numFmtId="0" fontId="34" fillId="0" borderId="0" xfId="0" applyFont="1"/>
    <xf numFmtId="0" fontId="10" fillId="0" borderId="5" xfId="0" applyFont="1" applyBorder="1" applyAlignment="1">
      <alignment horizontal="right"/>
    </xf>
    <xf numFmtId="0" fontId="17" fillId="0" borderId="3" xfId="0" applyFont="1" applyBorder="1" applyAlignment="1">
      <alignment horizontal="right"/>
    </xf>
    <xf numFmtId="0" fontId="30" fillId="7" borderId="20" xfId="0" applyFont="1" applyFill="1" applyBorder="1" applyAlignment="1">
      <alignment horizontal="center" vertical="center"/>
    </xf>
    <xf numFmtId="174" fontId="33" fillId="7" borderId="23" xfId="0" applyNumberFormat="1" applyFont="1" applyFill="1" applyBorder="1" applyAlignment="1">
      <alignment horizontal="center" vertical="center"/>
    </xf>
    <xf numFmtId="0" fontId="15" fillId="7" borderId="0" xfId="0" applyFont="1" applyFill="1" applyAlignment="1">
      <alignment vertical="center" wrapText="1"/>
    </xf>
    <xf numFmtId="0" fontId="15" fillId="7" borderId="6" xfId="0" applyFont="1" applyFill="1" applyBorder="1" applyAlignment="1">
      <alignment vertical="center" wrapText="1"/>
    </xf>
    <xf numFmtId="0" fontId="30" fillId="7" borderId="18" xfId="0" applyFont="1" applyFill="1" applyBorder="1" applyAlignment="1">
      <alignment horizontal="center" vertical="center"/>
    </xf>
    <xf numFmtId="174" fontId="33" fillId="7" borderId="29" xfId="0" applyNumberFormat="1" applyFont="1" applyFill="1" applyBorder="1" applyAlignment="1">
      <alignment horizontal="center" vertical="center"/>
    </xf>
    <xf numFmtId="0" fontId="30" fillId="7" borderId="3" xfId="0" applyFont="1" applyFill="1" applyBorder="1" applyAlignment="1">
      <alignment horizontal="center" vertical="center"/>
    </xf>
    <xf numFmtId="174" fontId="33" fillId="7" borderId="19" xfId="0" applyNumberFormat="1" applyFont="1" applyFill="1" applyBorder="1" applyAlignment="1">
      <alignment horizontal="center" vertical="center"/>
    </xf>
    <xf numFmtId="0" fontId="30" fillId="7" borderId="21" xfId="0" applyFont="1" applyFill="1" applyBorder="1" applyAlignment="1">
      <alignment horizontal="left" vertical="center" wrapText="1"/>
    </xf>
    <xf numFmtId="0" fontId="10" fillId="7" borderId="18" xfId="0" applyFont="1" applyFill="1" applyBorder="1" applyAlignment="1">
      <alignment horizontal="center" vertical="distributed"/>
    </xf>
    <xf numFmtId="0" fontId="10" fillId="7" borderId="3" xfId="0" applyFont="1" applyFill="1" applyBorder="1" applyAlignment="1">
      <alignment horizontal="center" vertical="distributed"/>
    </xf>
    <xf numFmtId="0" fontId="35" fillId="0" borderId="0" xfId="0" applyFont="1" applyAlignment="1">
      <alignment vertical="center"/>
    </xf>
    <xf numFmtId="0" fontId="36" fillId="7" borderId="0" xfId="0" applyFont="1" applyFill="1" applyBorder="1" applyAlignment="1">
      <alignment vertical="center"/>
    </xf>
    <xf numFmtId="0" fontId="36" fillId="7" borderId="0" xfId="0" applyFont="1" applyFill="1" applyBorder="1" applyAlignment="1">
      <alignment vertical="center" wrapText="1"/>
    </xf>
    <xf numFmtId="0" fontId="10" fillId="7" borderId="20" xfId="0" applyFont="1" applyFill="1" applyBorder="1" applyAlignment="1">
      <alignment horizontal="center" vertical="distributed"/>
    </xf>
    <xf numFmtId="0" fontId="30" fillId="7" borderId="31" xfId="0" applyFont="1" applyFill="1" applyBorder="1" applyAlignment="1">
      <alignment horizontal="left" vertical="center"/>
    </xf>
    <xf numFmtId="0" fontId="30" fillId="7" borderId="32" xfId="0" applyFont="1" applyFill="1" applyBorder="1" applyAlignment="1">
      <alignment horizontal="center" vertical="center"/>
    </xf>
    <xf numFmtId="174" fontId="33" fillId="7" borderId="33" xfId="0" applyNumberFormat="1" applyFont="1" applyFill="1" applyBorder="1" applyAlignment="1">
      <alignment horizontal="center" vertical="center"/>
    </xf>
    <xf numFmtId="0" fontId="30" fillId="7" borderId="34" xfId="0" applyFont="1" applyFill="1" applyBorder="1" applyAlignment="1">
      <alignment horizontal="left" vertical="center"/>
    </xf>
    <xf numFmtId="0" fontId="30" fillId="7" borderId="25" xfId="0" applyFont="1" applyFill="1" applyBorder="1" applyAlignment="1">
      <alignment horizontal="center" vertical="center"/>
    </xf>
    <xf numFmtId="174" fontId="33" fillId="7" borderId="35" xfId="0" applyNumberFormat="1" applyFont="1" applyFill="1" applyBorder="1" applyAlignment="1">
      <alignment horizontal="center" vertical="center"/>
    </xf>
    <xf numFmtId="0" fontId="30" fillId="7" borderId="28" xfId="0" applyFont="1" applyFill="1" applyBorder="1" applyAlignment="1">
      <alignment vertical="center"/>
    </xf>
    <xf numFmtId="0" fontId="30" fillId="7" borderId="22" xfId="0" applyFont="1" applyFill="1" applyBorder="1" applyAlignment="1">
      <alignment vertical="center"/>
    </xf>
    <xf numFmtId="0" fontId="30" fillId="7" borderId="21" xfId="0" applyFont="1" applyFill="1" applyBorder="1" applyAlignment="1">
      <alignment vertical="center"/>
    </xf>
    <xf numFmtId="0" fontId="30" fillId="7" borderId="36" xfId="0" applyFont="1" applyFill="1" applyBorder="1" applyAlignment="1">
      <alignment horizontal="left" vertical="center"/>
    </xf>
    <xf numFmtId="0" fontId="30" fillId="7" borderId="37" xfId="0" applyFont="1" applyFill="1" applyBorder="1" applyAlignment="1">
      <alignment horizontal="center" vertical="center"/>
    </xf>
    <xf numFmtId="174" fontId="33" fillId="7" borderId="38" xfId="0" applyNumberFormat="1" applyFont="1" applyFill="1" applyBorder="1" applyAlignment="1">
      <alignment horizontal="center" vertical="center"/>
    </xf>
    <xf numFmtId="0" fontId="15" fillId="7" borderId="0" xfId="0" applyFont="1" applyFill="1" applyBorder="1" applyAlignment="1">
      <alignment vertical="center" wrapText="1"/>
    </xf>
    <xf numFmtId="0" fontId="10" fillId="0" borderId="0" xfId="0" applyFont="1" applyAlignment="1">
      <alignment vertical="center"/>
    </xf>
    <xf numFmtId="2" fontId="10" fillId="0" borderId="0" xfId="0" applyNumberFormat="1" applyFont="1" applyAlignment="1">
      <alignment vertical="center"/>
    </xf>
    <xf numFmtId="10" fontId="15" fillId="0" borderId="3" xfId="2" applyNumberFormat="1" applyFont="1" applyFill="1" applyBorder="1" applyAlignment="1"/>
    <xf numFmtId="167" fontId="10" fillId="0" borderId="0" xfId="2" applyNumberFormat="1" applyFont="1" applyFill="1" applyAlignment="1">
      <alignment horizontal="center" vertical="center" wrapText="1"/>
    </xf>
    <xf numFmtId="10" fontId="10" fillId="0" borderId="3" xfId="2" applyNumberFormat="1" applyFont="1" applyFill="1" applyBorder="1" applyAlignment="1">
      <alignment horizontal="center"/>
    </xf>
    <xf numFmtId="1" fontId="10" fillId="0" borderId="3" xfId="0" applyNumberFormat="1" applyFont="1" applyFill="1" applyBorder="1" applyAlignment="1">
      <alignment horizontal="center"/>
    </xf>
    <xf numFmtId="0" fontId="30" fillId="0" borderId="0" xfId="0" applyFont="1" applyFill="1" applyBorder="1" applyAlignment="1">
      <alignment horizontal="right"/>
    </xf>
    <xf numFmtId="49" fontId="31" fillId="0" borderId="0" xfId="1" applyNumberFormat="1" applyFont="1" applyFill="1" applyBorder="1" applyAlignment="1">
      <alignment horizontal="right"/>
    </xf>
    <xf numFmtId="0" fontId="30" fillId="0" borderId="0" xfId="0" applyFont="1" applyFill="1" applyBorder="1" applyAlignment="1">
      <alignment horizontal="center" vertical="center" wrapText="1"/>
    </xf>
    <xf numFmtId="0" fontId="30" fillId="0" borderId="0" xfId="0" applyFont="1" applyFill="1" applyBorder="1"/>
    <xf numFmtId="1" fontId="30" fillId="0" borderId="0" xfId="0" applyNumberFormat="1" applyFont="1" applyFill="1" applyBorder="1" applyAlignment="1">
      <alignment horizontal="center" vertical="distributed"/>
    </xf>
    <xf numFmtId="164" fontId="30" fillId="0" borderId="0" xfId="0" applyNumberFormat="1" applyFont="1" applyFill="1" applyBorder="1" applyAlignment="1">
      <alignment horizontal="center" vertical="center" wrapText="1"/>
    </xf>
    <xf numFmtId="43" fontId="32" fillId="0" borderId="0" xfId="1" applyFont="1" applyFill="1" applyBorder="1"/>
    <xf numFmtId="43" fontId="30" fillId="0" borderId="0" xfId="1" applyFont="1" applyFill="1" applyBorder="1" applyAlignment="1">
      <alignment horizontal="right"/>
    </xf>
    <xf numFmtId="0" fontId="25" fillId="0" borderId="0" xfId="0" applyFont="1" applyBorder="1" applyAlignment="1">
      <alignment horizontal="left" vertical="center"/>
    </xf>
    <xf numFmtId="0" fontId="40" fillId="0" borderId="0" xfId="0" applyFont="1" applyFill="1" applyAlignment="1">
      <alignment horizontal="left" vertical="center"/>
    </xf>
    <xf numFmtId="171" fontId="15" fillId="0" borderId="0" xfId="1" applyNumberFormat="1" applyFont="1" applyBorder="1" applyAlignment="1">
      <alignment horizontal="center"/>
    </xf>
    <xf numFmtId="1" fontId="10" fillId="0" borderId="3" xfId="0" applyNumberFormat="1" applyFont="1" applyBorder="1" applyAlignment="1">
      <alignment horizontal="center"/>
    </xf>
    <xf numFmtId="3" fontId="10" fillId="4" borderId="3" xfId="0" applyNumberFormat="1" applyFont="1" applyFill="1" applyBorder="1" applyAlignment="1">
      <alignment horizontal="center" vertical="center"/>
    </xf>
    <xf numFmtId="3" fontId="10" fillId="0" borderId="3" xfId="0" applyNumberFormat="1" applyFont="1" applyBorder="1" applyAlignment="1">
      <alignment horizontal="center" vertical="center"/>
    </xf>
    <xf numFmtId="3" fontId="10" fillId="4" borderId="3" xfId="1" applyNumberFormat="1" applyFont="1" applyFill="1" applyBorder="1" applyAlignment="1">
      <alignment horizontal="center" vertical="center"/>
    </xf>
    <xf numFmtId="3" fontId="10" fillId="0" borderId="10" xfId="0" applyNumberFormat="1" applyFont="1" applyBorder="1" applyAlignment="1">
      <alignment horizontal="center"/>
    </xf>
    <xf numFmtId="3" fontId="10" fillId="0" borderId="16" xfId="0" applyNumberFormat="1" applyFont="1" applyBorder="1" applyAlignment="1">
      <alignment horizontal="center"/>
    </xf>
    <xf numFmtId="3" fontId="10" fillId="0" borderId="30" xfId="0" applyNumberFormat="1" applyFont="1" applyBorder="1" applyAlignment="1">
      <alignment horizontal="center"/>
    </xf>
    <xf numFmtId="0" fontId="22" fillId="0" borderId="7" xfId="0" applyFont="1" applyBorder="1" applyAlignment="1">
      <alignment horizontal="left" vertical="center"/>
    </xf>
    <xf numFmtId="0" fontId="22" fillId="0" borderId="17" xfId="0" applyFont="1" applyBorder="1" applyAlignment="1">
      <alignment horizontal="left" vertical="center"/>
    </xf>
    <xf numFmtId="0" fontId="22" fillId="0" borderId="24" xfId="0" applyFont="1" applyBorder="1" applyAlignment="1">
      <alignment horizontal="left"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30" xfId="0" applyFont="1" applyBorder="1" applyAlignment="1">
      <alignment horizontal="left" vertical="center" wrapText="1"/>
    </xf>
    <xf numFmtId="0" fontId="10" fillId="0" borderId="5" xfId="0" applyFont="1" applyBorder="1" applyAlignment="1">
      <alignment horizontal="center" vertical="distributed"/>
    </xf>
    <xf numFmtId="0" fontId="10" fillId="0" borderId="14" xfId="0" applyFont="1" applyBorder="1" applyAlignment="1">
      <alignment horizontal="center" vertical="distributed"/>
    </xf>
    <xf numFmtId="0" fontId="37" fillId="7" borderId="7" xfId="0" applyFont="1" applyFill="1" applyBorder="1" applyAlignment="1">
      <alignment horizontal="left" vertical="distributed"/>
    </xf>
    <xf numFmtId="0" fontId="37" fillId="7" borderId="17" xfId="0" applyFont="1" applyFill="1" applyBorder="1" applyAlignment="1">
      <alignment horizontal="left" vertical="distributed"/>
    </xf>
    <xf numFmtId="0" fontId="37" fillId="7" borderId="24" xfId="0" applyFont="1" applyFill="1" applyBorder="1" applyAlignment="1">
      <alignment horizontal="left" vertical="distributed"/>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00FF"/>
      <color rgb="FF008000"/>
      <color rgb="FF009900"/>
      <color rgb="FF0070C0"/>
      <color rgb="FFFFFF99"/>
      <color rgb="FF99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806-4F5B-AF9C-CF233A2A2612}"/>
            </c:ext>
          </c:extLst>
        </c:ser>
        <c:dLbls>
          <c:showLegendKey val="0"/>
          <c:showVal val="0"/>
          <c:showCatName val="0"/>
          <c:showSerName val="0"/>
          <c:showPercent val="0"/>
          <c:showBubbleSize val="0"/>
        </c:dLbls>
        <c:marker val="1"/>
        <c:smooth val="0"/>
        <c:axId val="2101365552"/>
        <c:axId val="1"/>
      </c:lineChart>
      <c:catAx>
        <c:axId val="210136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55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B602-4E39-B32D-34499DA47E8A}"/>
            </c:ext>
          </c:extLst>
        </c:ser>
        <c:dLbls>
          <c:showLegendKey val="0"/>
          <c:showVal val="0"/>
          <c:showCatName val="0"/>
          <c:showSerName val="0"/>
          <c:showPercent val="0"/>
          <c:showBubbleSize val="0"/>
        </c:dLbls>
        <c:marker val="1"/>
        <c:smooth val="0"/>
        <c:axId val="2101366800"/>
        <c:axId val="1"/>
      </c:lineChart>
      <c:catAx>
        <c:axId val="210136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6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A115-40ED-B162-756C1D16C97E}"/>
            </c:ext>
          </c:extLst>
        </c:ser>
        <c:dLbls>
          <c:showLegendKey val="0"/>
          <c:showVal val="0"/>
          <c:showCatName val="0"/>
          <c:showSerName val="0"/>
          <c:showPercent val="0"/>
          <c:showBubbleSize val="0"/>
        </c:dLbls>
        <c:marker val="1"/>
        <c:smooth val="0"/>
        <c:axId val="2101359728"/>
        <c:axId val="1"/>
      </c:lineChart>
      <c:catAx>
        <c:axId val="210135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597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C51-4EE2-B66A-7D6ADB957D81}"/>
            </c:ext>
          </c:extLst>
        </c:ser>
        <c:dLbls>
          <c:showLegendKey val="0"/>
          <c:showVal val="0"/>
          <c:showCatName val="0"/>
          <c:showSerName val="0"/>
          <c:showPercent val="0"/>
          <c:showBubbleSize val="0"/>
        </c:dLbls>
        <c:marker val="1"/>
        <c:smooth val="0"/>
        <c:axId val="2101360144"/>
        <c:axId val="1"/>
      </c:lineChart>
      <c:catAx>
        <c:axId val="210136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01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0</xdr:rowOff>
    </xdr:from>
    <xdr:to>
      <xdr:col>1</xdr:col>
      <xdr:colOff>0</xdr:colOff>
      <xdr:row>40</xdr:row>
      <xdr:rowOff>38100</xdr:rowOff>
    </xdr:to>
    <xdr:graphicFrame macro="">
      <xdr:nvGraphicFramePr>
        <xdr:cNvPr id="1590" name="Gráfico 10">
          <a:extLst>
            <a:ext uri="{FF2B5EF4-FFF2-40B4-BE49-F238E27FC236}">
              <a16:creationId xmlns:a16="http://schemas.microsoft.com/office/drawing/2014/main" id="{A65AC891-D1C9-43FB-9808-A52C8E566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1</xdr:col>
      <xdr:colOff>0</xdr:colOff>
      <xdr:row>47</xdr:row>
      <xdr:rowOff>0</xdr:rowOff>
    </xdr:to>
    <xdr:graphicFrame macro="">
      <xdr:nvGraphicFramePr>
        <xdr:cNvPr id="1591" name="Gráfico 11">
          <a:extLst>
            <a:ext uri="{FF2B5EF4-FFF2-40B4-BE49-F238E27FC236}">
              <a16:creationId xmlns:a16="http://schemas.microsoft.com/office/drawing/2014/main" id="{AA57A113-58A5-4E94-BDE8-AEAF8A4C8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47</xdr:row>
      <xdr:rowOff>0</xdr:rowOff>
    </xdr:from>
    <xdr:to>
      <xdr:col>1</xdr:col>
      <xdr:colOff>0</xdr:colOff>
      <xdr:row>47</xdr:row>
      <xdr:rowOff>0</xdr:rowOff>
    </xdr:to>
    <xdr:graphicFrame macro="">
      <xdr:nvGraphicFramePr>
        <xdr:cNvPr id="1592" name="Gráfico 12">
          <a:extLst>
            <a:ext uri="{FF2B5EF4-FFF2-40B4-BE49-F238E27FC236}">
              <a16:creationId xmlns:a16="http://schemas.microsoft.com/office/drawing/2014/main" id="{1FE8F15B-BF78-4A40-AA0A-D79F66512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33</xdr:row>
      <xdr:rowOff>0</xdr:rowOff>
    </xdr:from>
    <xdr:to>
      <xdr:col>1</xdr:col>
      <xdr:colOff>0</xdr:colOff>
      <xdr:row>40</xdr:row>
      <xdr:rowOff>28575</xdr:rowOff>
    </xdr:to>
    <xdr:graphicFrame macro="">
      <xdr:nvGraphicFramePr>
        <xdr:cNvPr id="1593" name="Gráfico 13">
          <a:extLst>
            <a:ext uri="{FF2B5EF4-FFF2-40B4-BE49-F238E27FC236}">
              <a16:creationId xmlns:a16="http://schemas.microsoft.com/office/drawing/2014/main" id="{C29DCF90-53A0-4DFA-9B4C-C76C012EA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8"/>
  <sheetViews>
    <sheetView tabSelected="1" topLeftCell="A61" zoomScale="85" zoomScaleNormal="85" workbookViewId="0">
      <selection activeCell="B69" sqref="B69"/>
    </sheetView>
  </sheetViews>
  <sheetFormatPr baseColWidth="10" defaultColWidth="11.453125" defaultRowHeight="13" x14ac:dyDescent="0.3"/>
  <cols>
    <col min="1" max="1" width="1.7265625" style="5" customWidth="1"/>
    <col min="2" max="2" width="54.7265625" style="5" customWidth="1"/>
    <col min="3" max="3" width="20.26953125" style="5" customWidth="1"/>
    <col min="4" max="4" width="18.36328125" style="5" customWidth="1"/>
    <col min="5" max="5" width="15.54296875" style="5" customWidth="1"/>
    <col min="6" max="6" width="20.1796875" style="5" customWidth="1"/>
    <col min="7" max="7" width="16.54296875" style="5" customWidth="1"/>
    <col min="8" max="8" width="8.7265625" style="5" customWidth="1"/>
    <col min="9" max="9" width="4.54296875" style="5" customWidth="1"/>
    <col min="10" max="10" width="13.81640625" style="5" customWidth="1"/>
    <col min="11" max="11" width="2.453125" style="5" customWidth="1"/>
    <col min="12" max="13" width="14.26953125" style="5" customWidth="1"/>
    <col min="14" max="14" width="14.7265625" style="5" bestFit="1" customWidth="1"/>
    <col min="15" max="15" width="14.26953125" style="12" bestFit="1" customWidth="1"/>
    <col min="16" max="16" width="14.26953125" style="12" customWidth="1"/>
    <col min="17" max="17" width="14" style="5" bestFit="1" customWidth="1"/>
    <col min="18" max="18" width="11.54296875" style="5" bestFit="1" customWidth="1"/>
    <col min="19" max="19" width="13.81640625" style="5" bestFit="1" customWidth="1"/>
    <col min="20" max="20" width="11.453125" style="5"/>
    <col min="21" max="22" width="11.453125" style="12"/>
    <col min="23" max="16384" width="11.453125" style="5"/>
  </cols>
  <sheetData>
    <row r="1" spans="2:30" s="4" customFormat="1" ht="8.25" customHeight="1" thickBot="1" x14ac:dyDescent="0.35">
      <c r="B1" s="89"/>
      <c r="C1" s="90"/>
      <c r="D1" s="89"/>
      <c r="E1" s="91"/>
      <c r="F1" s="5"/>
      <c r="G1" s="5"/>
      <c r="H1" s="92"/>
      <c r="I1" s="92"/>
      <c r="J1" s="92"/>
      <c r="K1" s="92"/>
      <c r="L1" s="8"/>
      <c r="M1" s="13"/>
      <c r="N1" s="13"/>
      <c r="O1" s="2"/>
      <c r="P1" s="2"/>
      <c r="Q1" s="3"/>
      <c r="R1" s="2"/>
      <c r="S1" s="2"/>
      <c r="T1" s="2"/>
      <c r="U1" s="93"/>
      <c r="V1" s="93"/>
      <c r="W1" s="93"/>
      <c r="X1" s="93"/>
      <c r="Y1" s="93"/>
      <c r="Z1" s="93"/>
      <c r="AA1" s="93"/>
      <c r="AB1" s="93"/>
      <c r="AC1" s="93"/>
    </row>
    <row r="2" spans="2:30" ht="24.75" customHeight="1" thickBot="1" x14ac:dyDescent="0.35">
      <c r="B2" s="301" t="s">
        <v>60</v>
      </c>
      <c r="C2" s="302"/>
      <c r="D2" s="302"/>
      <c r="E2" s="302"/>
      <c r="F2" s="303"/>
      <c r="G2" s="94"/>
      <c r="H2" s="95" t="s">
        <v>65</v>
      </c>
      <c r="I2" s="96">
        <v>0.95</v>
      </c>
      <c r="J2" s="94"/>
      <c r="K2" s="7"/>
      <c r="L2" s="8"/>
      <c r="M2" s="9"/>
      <c r="N2" s="9"/>
      <c r="O2" s="10"/>
      <c r="P2" s="10"/>
      <c r="Q2" s="11"/>
      <c r="R2" s="10"/>
      <c r="S2" s="10"/>
      <c r="T2" s="10"/>
      <c r="U2" s="10"/>
      <c r="V2" s="10"/>
      <c r="W2" s="10"/>
      <c r="X2" s="12"/>
      <c r="Y2" s="12"/>
      <c r="Z2" s="12"/>
      <c r="AA2" s="12"/>
      <c r="AB2" s="12"/>
      <c r="AC2" s="12"/>
      <c r="AD2" s="12"/>
    </row>
    <row r="3" spans="2:30" ht="28.5" customHeight="1" x14ac:dyDescent="0.3">
      <c r="B3" s="304" t="s">
        <v>102</v>
      </c>
      <c r="C3" s="305"/>
      <c r="D3" s="305"/>
      <c r="E3" s="305"/>
      <c r="F3" s="306"/>
      <c r="G3" s="97"/>
      <c r="H3" s="97"/>
      <c r="I3" s="97"/>
      <c r="J3" s="97"/>
      <c r="K3" s="7"/>
      <c r="L3" s="8"/>
      <c r="M3" s="9"/>
      <c r="N3" s="9"/>
      <c r="O3" s="10"/>
      <c r="P3" s="10"/>
      <c r="Q3" s="11"/>
      <c r="R3" s="10"/>
      <c r="S3" s="10"/>
      <c r="T3" s="10"/>
      <c r="U3" s="10"/>
      <c r="V3" s="10"/>
      <c r="W3" s="10"/>
      <c r="X3" s="12"/>
      <c r="Y3" s="12"/>
      <c r="Z3" s="12"/>
      <c r="AA3" s="12"/>
      <c r="AB3" s="12"/>
      <c r="AC3" s="12"/>
      <c r="AD3" s="12"/>
    </row>
    <row r="4" spans="2:30" ht="12.75" customHeight="1" x14ac:dyDescent="0.7">
      <c r="B4" s="74"/>
      <c r="C4" s="14"/>
      <c r="D4" s="13"/>
      <c r="E4" s="13"/>
      <c r="F4" s="6"/>
      <c r="G4" s="15"/>
      <c r="J4" s="97"/>
      <c r="K4" s="75"/>
      <c r="L4" s="16"/>
      <c r="O4" s="10"/>
      <c r="P4" s="10"/>
      <c r="Q4" s="17"/>
      <c r="R4" s="10"/>
      <c r="S4" s="10"/>
      <c r="T4" s="15"/>
      <c r="V4" s="18"/>
      <c r="W4" s="18"/>
      <c r="X4" s="12"/>
      <c r="Y4" s="18"/>
      <c r="Z4" s="19"/>
      <c r="AA4" s="12"/>
      <c r="AB4" s="12"/>
      <c r="AC4" s="12"/>
      <c r="AD4" s="12"/>
    </row>
    <row r="5" spans="2:30" x14ac:dyDescent="0.3">
      <c r="B5" s="98" t="s">
        <v>53</v>
      </c>
      <c r="C5" s="293"/>
      <c r="D5" s="293"/>
      <c r="E5" s="293"/>
      <c r="F5" s="293"/>
      <c r="I5" s="99"/>
      <c r="J5" s="97"/>
      <c r="K5" s="99"/>
      <c r="L5" s="100"/>
      <c r="M5" s="100"/>
      <c r="N5" s="100"/>
      <c r="O5" s="10"/>
      <c r="P5" s="10"/>
      <c r="Q5" s="10"/>
      <c r="R5" s="10"/>
      <c r="S5" s="10"/>
      <c r="T5" s="15"/>
      <c r="V5" s="18"/>
      <c r="W5" s="18"/>
      <c r="X5" s="12"/>
      <c r="Y5" s="18"/>
      <c r="Z5" s="19"/>
      <c r="AA5" s="12"/>
      <c r="AB5" s="12"/>
      <c r="AC5" s="12"/>
      <c r="AD5" s="12"/>
    </row>
    <row r="6" spans="2:30" x14ac:dyDescent="0.3">
      <c r="B6" s="78"/>
      <c r="C6" s="20"/>
      <c r="D6" s="294" t="s">
        <v>185</v>
      </c>
      <c r="E6" s="294" t="s">
        <v>186</v>
      </c>
      <c r="F6" s="294" t="s">
        <v>22</v>
      </c>
      <c r="I6" s="99"/>
      <c r="J6" s="97"/>
      <c r="K6" s="99"/>
      <c r="L6" s="100"/>
      <c r="M6" s="100"/>
      <c r="N6" s="100"/>
      <c r="O6" s="10"/>
      <c r="P6" s="10"/>
      <c r="Q6" s="10"/>
      <c r="R6" s="10"/>
      <c r="S6" s="10"/>
      <c r="T6" s="15"/>
      <c r="V6" s="18"/>
      <c r="W6" s="18"/>
      <c r="X6" s="12"/>
      <c r="Y6" s="18"/>
      <c r="Z6" s="12"/>
      <c r="AA6" s="12"/>
      <c r="AB6" s="12"/>
      <c r="AC6" s="12"/>
      <c r="AD6" s="12"/>
    </row>
    <row r="7" spans="2:30" ht="12.75" customHeight="1" x14ac:dyDescent="0.3">
      <c r="B7" s="78"/>
      <c r="C7" s="247" t="s">
        <v>187</v>
      </c>
      <c r="D7" s="295">
        <v>6041</v>
      </c>
      <c r="E7" s="296">
        <f>F7-D7</f>
        <v>4462</v>
      </c>
      <c r="F7" s="297">
        <v>10503</v>
      </c>
      <c r="H7" s="237"/>
      <c r="J7" s="238"/>
      <c r="K7" s="99"/>
      <c r="L7" s="100"/>
      <c r="M7" s="100"/>
      <c r="N7" s="100"/>
      <c r="O7" s="10"/>
      <c r="P7" s="10"/>
      <c r="Q7" s="10"/>
      <c r="R7" s="10"/>
      <c r="S7" s="10"/>
      <c r="T7" s="15"/>
      <c r="V7" s="18"/>
      <c r="W7" s="18"/>
      <c r="X7" s="12"/>
      <c r="Y7" s="18"/>
      <c r="Z7" s="12"/>
      <c r="AA7" s="12"/>
      <c r="AB7" s="12"/>
      <c r="AC7" s="12"/>
      <c r="AD7" s="12"/>
    </row>
    <row r="8" spans="2:30" ht="12.75" customHeight="1" x14ac:dyDescent="0.3">
      <c r="B8" s="78"/>
      <c r="C8" s="247" t="s">
        <v>188</v>
      </c>
      <c r="D8" s="295">
        <v>6095</v>
      </c>
      <c r="E8" s="296">
        <f>F8-D8</f>
        <v>4506</v>
      </c>
      <c r="F8" s="297">
        <v>10601</v>
      </c>
      <c r="H8" s="237"/>
      <c r="I8" s="99"/>
      <c r="J8" s="238"/>
      <c r="K8" s="99"/>
      <c r="L8" s="100"/>
      <c r="M8" s="101"/>
      <c r="N8" s="100"/>
      <c r="O8" s="10"/>
      <c r="P8" s="10"/>
      <c r="Q8" s="10"/>
      <c r="R8" s="10"/>
      <c r="S8" s="10"/>
      <c r="T8" s="15"/>
      <c r="V8" s="18"/>
      <c r="W8" s="18"/>
      <c r="X8" s="12"/>
      <c r="Y8" s="18"/>
      <c r="Z8" s="12"/>
      <c r="AA8" s="12"/>
      <c r="AB8" s="12"/>
      <c r="AC8" s="12"/>
      <c r="AD8" s="12"/>
    </row>
    <row r="9" spans="2:30" x14ac:dyDescent="0.3">
      <c r="B9" s="78"/>
      <c r="C9" s="248" t="s">
        <v>22</v>
      </c>
      <c r="D9" s="298">
        <f>SUM(D7:D8)</f>
        <v>12136</v>
      </c>
      <c r="E9" s="299">
        <f>SUM(E7:E8)</f>
        <v>8968</v>
      </c>
      <c r="F9" s="300">
        <f>SUM(F7:F8)</f>
        <v>21104</v>
      </c>
      <c r="G9" s="99"/>
      <c r="H9" s="99"/>
      <c r="I9" s="99"/>
      <c r="J9" s="97"/>
      <c r="K9" s="99"/>
      <c r="L9" s="100"/>
      <c r="M9" s="101"/>
      <c r="N9" s="100"/>
      <c r="P9" s="23"/>
      <c r="Q9" s="24"/>
      <c r="R9" s="24"/>
      <c r="S9" s="24"/>
      <c r="T9" s="18"/>
      <c r="V9" s="18"/>
      <c r="W9" s="18"/>
      <c r="X9" s="12"/>
      <c r="Y9" s="18"/>
      <c r="Z9" s="12"/>
      <c r="AA9" s="12"/>
      <c r="AB9" s="12"/>
      <c r="AC9" s="12"/>
      <c r="AD9" s="12"/>
    </row>
    <row r="10" spans="2:30" ht="12.75" customHeight="1" x14ac:dyDescent="0.3">
      <c r="B10" s="78"/>
      <c r="C10" s="25"/>
      <c r="D10" s="26"/>
      <c r="E10" s="22"/>
      <c r="F10" s="22"/>
      <c r="G10" s="100"/>
      <c r="H10" s="100"/>
      <c r="I10" s="99"/>
      <c r="J10" s="99"/>
      <c r="K10" s="99"/>
      <c r="L10" s="100"/>
      <c r="M10" s="101"/>
      <c r="N10" s="100"/>
      <c r="P10" s="23"/>
      <c r="Q10" s="24"/>
      <c r="R10" s="24"/>
      <c r="S10" s="24"/>
      <c r="T10" s="18"/>
      <c r="V10" s="18"/>
      <c r="W10" s="18"/>
      <c r="X10" s="12"/>
      <c r="Y10" s="18"/>
      <c r="Z10" s="12"/>
      <c r="AA10" s="12"/>
      <c r="AB10" s="12"/>
      <c r="AC10" s="12"/>
      <c r="AD10" s="12"/>
    </row>
    <row r="11" spans="2:30" s="4" customFormat="1" ht="14.25" hidden="1" customHeight="1" x14ac:dyDescent="0.3">
      <c r="B11" s="102" t="s">
        <v>66</v>
      </c>
      <c r="C11" s="28"/>
      <c r="D11" s="29"/>
      <c r="E11" s="2"/>
      <c r="F11" s="21"/>
      <c r="G11" s="103"/>
      <c r="H11" s="101"/>
      <c r="I11" s="103"/>
      <c r="J11" s="101"/>
      <c r="K11" s="104"/>
      <c r="L11" s="104"/>
      <c r="M11" s="103"/>
      <c r="N11" s="104"/>
      <c r="P11" s="2"/>
      <c r="Q11" s="31"/>
      <c r="R11" s="31"/>
      <c r="S11" s="31"/>
      <c r="T11" s="2"/>
      <c r="U11" s="2"/>
      <c r="V11" s="2"/>
      <c r="W11" s="2"/>
    </row>
    <row r="12" spans="2:30" s="4" customFormat="1" ht="12.75" hidden="1" customHeight="1" x14ac:dyDescent="0.3">
      <c r="B12" s="78" t="s">
        <v>61</v>
      </c>
      <c r="C12" s="28"/>
      <c r="D12" s="29"/>
      <c r="E12" s="2"/>
      <c r="F12" s="21"/>
      <c r="G12" s="103"/>
      <c r="H12" s="101"/>
      <c r="I12" s="103"/>
      <c r="J12" s="101"/>
      <c r="K12" s="105"/>
      <c r="L12" s="104"/>
      <c r="M12" s="104"/>
      <c r="N12" s="104"/>
      <c r="P12" s="2"/>
      <c r="Q12" s="3"/>
      <c r="R12" s="3"/>
      <c r="S12" s="3"/>
      <c r="T12" s="2"/>
      <c r="U12" s="2"/>
      <c r="V12" s="2"/>
      <c r="W12" s="2"/>
    </row>
    <row r="13" spans="2:30" s="4" customFormat="1" ht="45" hidden="1" customHeight="1" x14ac:dyDescent="0.3">
      <c r="B13" s="81" t="s">
        <v>25</v>
      </c>
      <c r="C13" s="81" t="s">
        <v>62</v>
      </c>
      <c r="D13" s="81" t="s">
        <v>67</v>
      </c>
      <c r="E13" s="81" t="s">
        <v>63</v>
      </c>
      <c r="F13" s="81" t="s">
        <v>64</v>
      </c>
      <c r="G13" s="81" t="s">
        <v>4</v>
      </c>
      <c r="H13" s="81" t="s">
        <v>68</v>
      </c>
      <c r="I13" s="81" t="s">
        <v>69</v>
      </c>
      <c r="J13" s="101"/>
      <c r="K13" s="106" t="s">
        <v>43</v>
      </c>
      <c r="L13" s="107" t="s">
        <v>0</v>
      </c>
      <c r="M13" s="107" t="s">
        <v>1</v>
      </c>
      <c r="N13" s="104"/>
      <c r="P13" s="2"/>
      <c r="Q13" s="2"/>
      <c r="R13" s="2"/>
      <c r="S13" s="2"/>
      <c r="T13" s="2"/>
      <c r="U13" s="2"/>
      <c r="V13" s="2"/>
      <c r="W13" s="2"/>
    </row>
    <row r="14" spans="2:30" s="4" customFormat="1" ht="12.75" hidden="1" customHeight="1" x14ac:dyDescent="0.3">
      <c r="B14" s="82">
        <f>LN((D7/F7)/(D8/F8))</f>
        <v>3.8820387369160365E-4</v>
      </c>
      <c r="C14" s="82">
        <f>SQRT((E7/(D7*F7)+(E8/(D8*F8))))</f>
        <v>1.1834813081133856E-2</v>
      </c>
      <c r="D14" s="108">
        <f>-NORMSINV((1-I2)/2)</f>
        <v>1.9599639845400536</v>
      </c>
      <c r="E14" s="83">
        <f>B14-(D14*C14)</f>
        <v>-2.2807603529094257E-2</v>
      </c>
      <c r="F14" s="84">
        <f>B14+(D14*C14)</f>
        <v>2.3584011276477468E-2</v>
      </c>
      <c r="G14" s="109">
        <f>(D7/F7)/(D8/F8)</f>
        <v>1.0003882792345669</v>
      </c>
      <c r="H14" s="109">
        <f>EXP(E14)</f>
        <v>0.97745052371483421</v>
      </c>
      <c r="I14" s="109">
        <f>EXP(F14)</f>
        <v>1.0238643132814658</v>
      </c>
      <c r="J14" s="101"/>
      <c r="K14" s="110">
        <f>1-G14</f>
        <v>-3.8827923456685731E-4</v>
      </c>
      <c r="L14" s="109">
        <f>1-H14</f>
        <v>2.2549476285165793E-2</v>
      </c>
      <c r="M14" s="109">
        <f>1-I14</f>
        <v>-2.3864313281465765E-2</v>
      </c>
      <c r="N14" s="111"/>
      <c r="P14" s="2"/>
      <c r="Q14" s="2"/>
      <c r="R14" s="2"/>
      <c r="S14" s="2"/>
      <c r="T14" s="2"/>
      <c r="U14" s="2"/>
      <c r="V14" s="2"/>
      <c r="W14" s="2"/>
    </row>
    <row r="15" spans="2:30" s="4" customFormat="1" ht="12.75" hidden="1" customHeight="1" x14ac:dyDescent="0.3">
      <c r="B15" s="112"/>
      <c r="C15" s="28"/>
      <c r="D15" s="28"/>
      <c r="E15" s="28"/>
      <c r="F15" s="32"/>
      <c r="G15" s="113"/>
      <c r="H15" s="101"/>
      <c r="I15" s="103"/>
      <c r="J15" s="101"/>
      <c r="K15" s="103"/>
      <c r="L15" s="103"/>
      <c r="M15" s="103"/>
      <c r="N15" s="104"/>
      <c r="P15" s="2"/>
      <c r="Q15" s="2"/>
      <c r="R15" s="2"/>
      <c r="S15" s="2"/>
      <c r="T15" s="2"/>
      <c r="U15" s="2"/>
      <c r="V15" s="2"/>
      <c r="W15" s="2"/>
    </row>
    <row r="16" spans="2:30" s="12" customFormat="1" ht="12.75" hidden="1" customHeight="1" x14ac:dyDescent="0.3">
      <c r="B16" s="77"/>
      <c r="C16" s="33"/>
      <c r="D16" s="34"/>
      <c r="E16" s="35"/>
      <c r="F16" s="36"/>
      <c r="G16" s="114"/>
      <c r="H16" s="115"/>
      <c r="I16" s="116"/>
      <c r="J16" s="116"/>
      <c r="K16" s="117"/>
      <c r="L16" s="117"/>
      <c r="M16" s="118"/>
      <c r="N16" s="118"/>
    </row>
    <row r="17" spans="2:30" ht="15.75" hidden="1" customHeight="1" x14ac:dyDescent="0.3">
      <c r="B17" s="39" t="s">
        <v>70</v>
      </c>
      <c r="C17" s="2"/>
      <c r="D17" s="119"/>
      <c r="E17" s="119"/>
      <c r="F17" s="13"/>
      <c r="G17" s="13"/>
      <c r="H17" s="120"/>
      <c r="I17" s="40"/>
      <c r="J17" s="121"/>
      <c r="K17" s="121"/>
      <c r="L17" s="4"/>
      <c r="M17" s="104"/>
      <c r="N17" s="101"/>
      <c r="O17" s="40"/>
      <c r="P17" s="2"/>
      <c r="Q17" s="2"/>
      <c r="R17" s="41"/>
      <c r="S17" s="40"/>
      <c r="T17" s="42"/>
      <c r="U17" s="42"/>
      <c r="V17" s="42"/>
      <c r="W17" s="12"/>
      <c r="X17" s="12"/>
      <c r="Y17" s="12"/>
      <c r="Z17" s="12"/>
      <c r="AA17" s="12"/>
      <c r="AB17" s="12"/>
      <c r="AC17" s="12"/>
    </row>
    <row r="18" spans="2:30" ht="12.75" hidden="1" customHeight="1" x14ac:dyDescent="0.3">
      <c r="B18" s="43" t="s">
        <v>71</v>
      </c>
      <c r="C18" s="2"/>
      <c r="D18" s="40"/>
      <c r="E18" s="40"/>
      <c r="F18" s="2"/>
      <c r="G18" s="2"/>
      <c r="H18" s="41"/>
      <c r="I18" s="40"/>
      <c r="J18" s="42"/>
      <c r="K18" s="42"/>
      <c r="L18" s="42"/>
      <c r="M18" s="104"/>
      <c r="N18" s="101"/>
      <c r="O18" s="2"/>
      <c r="P18" s="2"/>
      <c r="Q18" s="41"/>
      <c r="R18" s="40"/>
      <c r="S18" s="42"/>
      <c r="T18" s="42"/>
      <c r="U18" s="42"/>
      <c r="W18" s="12" t="s">
        <v>27</v>
      </c>
      <c r="X18" s="12"/>
      <c r="Y18" s="12"/>
      <c r="Z18" s="12"/>
      <c r="AA18" s="12"/>
      <c r="AB18" s="12"/>
    </row>
    <row r="19" spans="2:30" ht="25.5" hidden="1" customHeight="1" x14ac:dyDescent="0.3">
      <c r="B19" s="122" t="s">
        <v>72</v>
      </c>
      <c r="C19" s="5" t="s">
        <v>9</v>
      </c>
      <c r="D19" s="4"/>
      <c r="E19" s="5" t="s">
        <v>73</v>
      </c>
      <c r="G19" s="5" t="s">
        <v>7</v>
      </c>
      <c r="I19" s="5" t="s">
        <v>8</v>
      </c>
      <c r="J19" s="42"/>
      <c r="K19" s="42"/>
      <c r="L19" s="42"/>
      <c r="M19" s="104"/>
      <c r="N19" s="117"/>
      <c r="P19" s="5"/>
      <c r="T19" s="12"/>
      <c r="V19" s="5"/>
      <c r="W19" s="5" t="s">
        <v>28</v>
      </c>
      <c r="Y19" s="12"/>
      <c r="Z19" s="12"/>
      <c r="AA19" s="12"/>
      <c r="AB19" s="12"/>
      <c r="AC19" s="12"/>
      <c r="AD19" s="12"/>
    </row>
    <row r="20" spans="2:30" ht="38.25" hidden="1" customHeight="1" x14ac:dyDescent="0.4">
      <c r="B20" s="81" t="s">
        <v>74</v>
      </c>
      <c r="C20" s="81" t="s">
        <v>26</v>
      </c>
      <c r="D20" s="123" t="s">
        <v>10</v>
      </c>
      <c r="E20" s="123" t="s">
        <v>9</v>
      </c>
      <c r="F20" s="123" t="s">
        <v>75</v>
      </c>
      <c r="G20" s="123" t="s">
        <v>7</v>
      </c>
      <c r="H20" s="123" t="s">
        <v>8</v>
      </c>
      <c r="I20" s="124" t="s">
        <v>5</v>
      </c>
      <c r="J20" s="123" t="s">
        <v>76</v>
      </c>
      <c r="K20" s="123" t="s">
        <v>0</v>
      </c>
      <c r="L20" s="123" t="s">
        <v>1</v>
      </c>
      <c r="M20" s="125"/>
      <c r="N20" s="126"/>
      <c r="O20" s="127" t="s">
        <v>13</v>
      </c>
      <c r="P20" s="128" t="s">
        <v>56</v>
      </c>
      <c r="Q20" s="129"/>
      <c r="R20" s="130"/>
      <c r="S20" s="131"/>
      <c r="T20" s="131"/>
      <c r="U20" s="132"/>
      <c r="W20" s="133"/>
      <c r="X20" s="127" t="s">
        <v>57</v>
      </c>
      <c r="Y20" s="128" t="s">
        <v>77</v>
      </c>
      <c r="Z20" s="85"/>
      <c r="AA20" s="85"/>
      <c r="AB20" s="85" t="s">
        <v>78</v>
      </c>
      <c r="AC20" s="85"/>
      <c r="AD20" s="76"/>
    </row>
    <row r="21" spans="2:30" ht="12.75" hidden="1" customHeight="1" x14ac:dyDescent="0.3">
      <c r="B21" s="134">
        <f>D7</f>
        <v>6041</v>
      </c>
      <c r="C21" s="135">
        <f>F7</f>
        <v>10503</v>
      </c>
      <c r="D21" s="136">
        <f>B21/C21</f>
        <v>0.57516899933352372</v>
      </c>
      <c r="E21" s="137">
        <f>2*B21+I21^2</f>
        <v>12085.841458820694</v>
      </c>
      <c r="F21" s="137">
        <f>I21*SQRT((I21^2)+(4*B21*(1-D21)))</f>
        <v>198.61948316257846</v>
      </c>
      <c r="G21" s="138">
        <f>2*(C21+I21^2)</f>
        <v>21013.682917641388</v>
      </c>
      <c r="H21" s="139" t="s">
        <v>11</v>
      </c>
      <c r="I21" s="108">
        <f>-NORMSINV((1-I2)/2)</f>
        <v>1.9599639845400536</v>
      </c>
      <c r="J21" s="279">
        <f>D21</f>
        <v>0.57516899933352372</v>
      </c>
      <c r="K21" s="279">
        <f>(E21-F21)/G21</f>
        <v>0.56568960435196092</v>
      </c>
      <c r="L21" s="279">
        <f>(E21+F21)/G21</f>
        <v>0.58459342848797968</v>
      </c>
      <c r="M21" s="125"/>
      <c r="N21" s="140">
        <f>F9/2</f>
        <v>10552</v>
      </c>
      <c r="O21" s="20" t="s">
        <v>14</v>
      </c>
      <c r="P21" s="2"/>
      <c r="Q21" s="41"/>
      <c r="R21" s="40"/>
      <c r="S21" s="42"/>
      <c r="T21" s="42"/>
      <c r="U21" s="141"/>
      <c r="W21" s="142">
        <f>ABS(D21-D22)</f>
        <v>2.2323949954583533E-4</v>
      </c>
      <c r="X21" s="20" t="s">
        <v>79</v>
      </c>
      <c r="Y21" s="2"/>
      <c r="Z21" s="20"/>
      <c r="AA21" s="20"/>
      <c r="AB21" s="20" t="s">
        <v>80</v>
      </c>
      <c r="AC21" s="20"/>
      <c r="AD21" s="143"/>
    </row>
    <row r="22" spans="2:30" ht="14.25" hidden="1" customHeight="1" x14ac:dyDescent="0.4">
      <c r="B22" s="134">
        <f>D8</f>
        <v>6095</v>
      </c>
      <c r="C22" s="135">
        <f>F8</f>
        <v>10601</v>
      </c>
      <c r="D22" s="136">
        <f>B22/C22</f>
        <v>0.57494575983397789</v>
      </c>
      <c r="E22" s="137">
        <f>2*B22+I22^2</f>
        <v>12193.841458820694</v>
      </c>
      <c r="F22" s="137">
        <f>I22*SQRT((I22^2)+(4*B22*(1-D22)))</f>
        <v>199.55729058732103</v>
      </c>
      <c r="G22" s="138">
        <f>2*(C22+I22^2)</f>
        <v>21209.682917641388</v>
      </c>
      <c r="H22" s="139" t="s">
        <v>11</v>
      </c>
      <c r="I22" s="108">
        <f>-NORMSINV((1-I2)/2)</f>
        <v>1.9599639845400536</v>
      </c>
      <c r="J22" s="279">
        <f>D22</f>
        <v>0.57494575983397789</v>
      </c>
      <c r="K22" s="279">
        <f>(E22-F22)/G22</f>
        <v>0.56550982939292294</v>
      </c>
      <c r="L22" s="279">
        <f>(E22+F22)/G22</f>
        <v>0.58432739412146839</v>
      </c>
      <c r="M22" s="125"/>
      <c r="N22" s="144">
        <f>J26</f>
        <v>-2.2323949954583533E-4</v>
      </c>
      <c r="O22" s="20" t="s">
        <v>15</v>
      </c>
      <c r="P22" s="20"/>
      <c r="Q22" s="20"/>
      <c r="R22" s="20"/>
      <c r="S22" s="20"/>
      <c r="T22" s="20"/>
      <c r="U22" s="87"/>
      <c r="W22" s="145">
        <f>SQRT((D23*(1-D23)/C21)+(D23*(1-D23)/C22))</f>
        <v>6.8057045978825066E-3</v>
      </c>
      <c r="X22" s="43" t="s">
        <v>81</v>
      </c>
      <c r="Y22" s="20"/>
      <c r="Z22" s="20"/>
      <c r="AA22" s="20"/>
      <c r="AB22" s="20"/>
      <c r="AC22" s="20"/>
      <c r="AD22" s="143"/>
    </row>
    <row r="23" spans="2:30" ht="12.75" hidden="1" customHeight="1" x14ac:dyDescent="0.3">
      <c r="B23" s="134">
        <f>D9</f>
        <v>12136</v>
      </c>
      <c r="C23" s="135">
        <f>F9</f>
        <v>21104</v>
      </c>
      <c r="D23" s="136">
        <f>B23/C23</f>
        <v>0.57505686125852917</v>
      </c>
      <c r="E23" s="137">
        <f>2*B23+I23^2</f>
        <v>24275.841458820694</v>
      </c>
      <c r="F23" s="137">
        <f>I23*SQRT((I23^2)+(4*B23*(1-D23)))</f>
        <v>281.52807773393704</v>
      </c>
      <c r="G23" s="138">
        <f>2*(C23+I23^2)</f>
        <v>42215.682917641388</v>
      </c>
      <c r="H23" s="139" t="s">
        <v>11</v>
      </c>
      <c r="I23" s="108">
        <f>-NORMSINV((1-I2)/2)</f>
        <v>1.9599639845400536</v>
      </c>
      <c r="J23" s="279">
        <f>D23</f>
        <v>0.57505686125852917</v>
      </c>
      <c r="K23" s="279">
        <f>(E23-F23)/G23</f>
        <v>0.56837439839353743</v>
      </c>
      <c r="L23" s="279">
        <f>(E23+F23)/G23</f>
        <v>0.58171200462310713</v>
      </c>
      <c r="M23" s="125"/>
      <c r="N23" s="146">
        <f>(B21+B22)/(C21+C22)</f>
        <v>0.57505686125852917</v>
      </c>
      <c r="O23" s="20" t="s">
        <v>6</v>
      </c>
      <c r="P23" s="2"/>
      <c r="Q23" s="41"/>
      <c r="R23" s="40"/>
      <c r="S23" s="42"/>
      <c r="T23" s="42"/>
      <c r="U23" s="143"/>
      <c r="W23" s="147">
        <f>W21/W22</f>
        <v>3.2801820345727754E-2</v>
      </c>
      <c r="X23" s="20" t="s">
        <v>42</v>
      </c>
      <c r="Y23" s="2"/>
      <c r="Z23" s="20"/>
      <c r="AA23" s="20"/>
      <c r="AB23" s="20"/>
      <c r="AC23" s="20"/>
      <c r="AD23" s="143"/>
    </row>
    <row r="24" spans="2:30" ht="15" hidden="1" customHeight="1" x14ac:dyDescent="0.3">
      <c r="B24" s="78"/>
      <c r="C24" s="148" t="s">
        <v>12</v>
      </c>
      <c r="F24" s="37"/>
      <c r="G24" s="116"/>
      <c r="H24" s="116"/>
      <c r="I24" s="116"/>
      <c r="J24" s="116"/>
      <c r="K24" s="117"/>
      <c r="L24" s="117"/>
      <c r="M24" s="125"/>
      <c r="N24" s="149">
        <f>SQRT(N21*N22^2/(2*N23*(1-N23)))-I21</f>
        <v>-1.9271618105248582</v>
      </c>
      <c r="O24" s="20" t="s">
        <v>82</v>
      </c>
      <c r="P24" s="20"/>
      <c r="Q24" s="20"/>
      <c r="R24" s="20"/>
      <c r="S24" s="20"/>
      <c r="T24" s="4"/>
      <c r="U24" s="141"/>
      <c r="W24" s="150">
        <f>NORMSDIST(-W23)</f>
        <v>0.48691631328467716</v>
      </c>
      <c r="X24" s="39" t="s">
        <v>83</v>
      </c>
      <c r="Y24" s="20"/>
      <c r="Z24" s="4"/>
      <c r="AA24" s="4"/>
      <c r="AB24" s="4"/>
      <c r="AC24" s="4"/>
      <c r="AD24" s="87"/>
    </row>
    <row r="25" spans="2:30" ht="13.5" hidden="1" customHeight="1" x14ac:dyDescent="0.3">
      <c r="B25" s="78"/>
      <c r="C25" s="148" t="s">
        <v>84</v>
      </c>
      <c r="D25" s="27"/>
      <c r="E25" s="38"/>
      <c r="F25" s="37"/>
      <c r="G25" s="116"/>
      <c r="H25" s="100"/>
      <c r="I25" s="100"/>
      <c r="J25" s="280"/>
      <c r="K25" s="280"/>
      <c r="L25" s="280"/>
      <c r="M25" s="125"/>
      <c r="N25" s="151">
        <f>NORMSDIST(N24)</f>
        <v>2.6979733820024603E-2</v>
      </c>
      <c r="O25" s="39" t="s">
        <v>16</v>
      </c>
      <c r="P25" s="44"/>
      <c r="Q25" s="20"/>
      <c r="R25" s="20"/>
      <c r="S25" s="20"/>
      <c r="T25" s="20"/>
      <c r="U25" s="143"/>
      <c r="W25" s="152">
        <f>1-W24</f>
        <v>0.51308368671532278</v>
      </c>
      <c r="X25" s="45" t="s">
        <v>85</v>
      </c>
      <c r="Y25" s="44"/>
      <c r="Z25" s="4"/>
      <c r="AA25" s="4"/>
      <c r="AB25" s="4"/>
      <c r="AC25" s="4"/>
      <c r="AD25" s="87"/>
    </row>
    <row r="26" spans="2:30" ht="15" hidden="1" customHeight="1" x14ac:dyDescent="0.35">
      <c r="F26" s="46"/>
      <c r="G26" s="100"/>
      <c r="H26" s="100"/>
      <c r="I26" s="95" t="s">
        <v>23</v>
      </c>
      <c r="J26" s="281">
        <f>D22-D21</f>
        <v>-2.2323949954583533E-4</v>
      </c>
      <c r="K26" s="281">
        <f>J26+SQRT((D22-K22)^2+(L21-D21)^2)</f>
        <v>1.3113051145749316E-2</v>
      </c>
      <c r="L26" s="281">
        <f>J26-SQRT((D21-K21)^2+(L22-D22)^2)</f>
        <v>-1.356018034520814E-2</v>
      </c>
      <c r="M26" s="99"/>
      <c r="N26" s="153">
        <f>1-N25</f>
        <v>0.97302026617997539</v>
      </c>
      <c r="O26" s="154" t="s">
        <v>86</v>
      </c>
      <c r="P26" s="155"/>
      <c r="Q26" s="156"/>
      <c r="R26" s="155"/>
      <c r="S26" s="155"/>
      <c r="T26" s="155"/>
      <c r="U26" s="157"/>
      <c r="W26" s="158"/>
      <c r="X26" s="159"/>
      <c r="Y26" s="155"/>
      <c r="Z26" s="159"/>
      <c r="AA26" s="159"/>
      <c r="AB26" s="159"/>
      <c r="AC26" s="159"/>
      <c r="AD26" s="160"/>
    </row>
    <row r="27" spans="2:30" ht="13.5" hidden="1" customHeight="1" x14ac:dyDescent="0.3">
      <c r="F27" s="47"/>
      <c r="G27" s="100"/>
      <c r="H27" s="100"/>
      <c r="I27" s="95" t="s">
        <v>24</v>
      </c>
      <c r="J27" s="282">
        <f>1/J26</f>
        <v>-4479.4940054713788</v>
      </c>
      <c r="K27" s="282">
        <f>1/K26</f>
        <v>76.25990235873951</v>
      </c>
      <c r="L27" s="282">
        <f>1/L26</f>
        <v>-73.745331886635071</v>
      </c>
      <c r="M27" s="99"/>
      <c r="N27" s="100"/>
      <c r="O27" s="5"/>
      <c r="P27" s="5"/>
      <c r="U27" s="5"/>
      <c r="V27" s="5"/>
      <c r="W27" s="12"/>
      <c r="X27" s="12"/>
      <c r="Y27" s="12"/>
      <c r="Z27" s="12"/>
      <c r="AA27" s="12"/>
      <c r="AB27" s="12"/>
      <c r="AC27" s="12"/>
    </row>
    <row r="28" spans="2:30" ht="14.25" hidden="1" customHeight="1" x14ac:dyDescent="0.4">
      <c r="G28" s="100"/>
      <c r="H28" s="100"/>
      <c r="K28" s="161"/>
      <c r="L28" s="161"/>
      <c r="M28" s="162"/>
      <c r="N28" s="126"/>
      <c r="O28" s="163"/>
      <c r="P28" s="163" t="s">
        <v>81</v>
      </c>
      <c r="Q28" s="164">
        <f>SQRT((D23*(1-D23)/C21)+(D23*(1-D23)/C22))</f>
        <v>6.8057045978825066E-3</v>
      </c>
      <c r="R28" s="165"/>
      <c r="S28" s="165"/>
      <c r="T28" s="165"/>
      <c r="U28" s="76"/>
      <c r="V28" s="5"/>
    </row>
    <row r="29" spans="2:30" ht="31.5" hidden="1" customHeight="1" x14ac:dyDescent="0.35">
      <c r="F29" s="166"/>
      <c r="G29" s="178"/>
      <c r="H29" s="283"/>
      <c r="I29" s="284"/>
      <c r="J29" s="167"/>
      <c r="K29" s="167"/>
      <c r="L29" s="167"/>
      <c r="M29" s="100"/>
      <c r="N29" s="168" t="s">
        <v>87</v>
      </c>
      <c r="O29" s="169"/>
      <c r="P29" s="20" t="s">
        <v>88</v>
      </c>
      <c r="Q29" s="20"/>
      <c r="R29" s="41"/>
      <c r="S29" s="170" t="s">
        <v>89</v>
      </c>
      <c r="T29" s="20"/>
      <c r="U29" s="143"/>
      <c r="V29" s="5"/>
    </row>
    <row r="30" spans="2:30" s="4" customFormat="1" ht="14.25" hidden="1" customHeight="1" x14ac:dyDescent="0.4">
      <c r="F30" s="49"/>
      <c r="G30" s="285"/>
      <c r="H30" s="286"/>
      <c r="I30" s="283"/>
      <c r="J30" s="287"/>
      <c r="K30" s="287"/>
      <c r="L30" s="287"/>
      <c r="M30" s="100"/>
      <c r="N30" s="171"/>
      <c r="O30" s="72" t="s">
        <v>90</v>
      </c>
      <c r="Q30" s="172" t="s">
        <v>91</v>
      </c>
      <c r="R30" s="72" t="s">
        <v>92</v>
      </c>
      <c r="S30" s="20"/>
      <c r="T30" s="20"/>
      <c r="U30" s="87"/>
    </row>
    <row r="31" spans="2:30" s="4" customFormat="1" ht="14.25" hidden="1" customHeight="1" x14ac:dyDescent="0.4">
      <c r="F31" s="50"/>
      <c r="G31" s="285"/>
      <c r="H31" s="286"/>
      <c r="I31" s="283"/>
      <c r="J31" s="287"/>
      <c r="K31" s="287"/>
      <c r="L31" s="287"/>
      <c r="M31" s="104"/>
      <c r="N31" s="149">
        <f>ABS((J26/Q28))-I21</f>
        <v>-1.927162164194326</v>
      </c>
      <c r="O31" s="72" t="s">
        <v>93</v>
      </c>
      <c r="P31" s="20"/>
      <c r="Q31" s="20"/>
      <c r="R31" s="40"/>
      <c r="S31" s="42"/>
      <c r="T31" s="42"/>
      <c r="U31" s="141"/>
    </row>
    <row r="32" spans="2:30" s="4" customFormat="1" ht="12.75" hidden="1" customHeight="1" x14ac:dyDescent="0.3">
      <c r="B32" s="173"/>
      <c r="C32" s="51"/>
      <c r="E32" s="30"/>
      <c r="G32" s="288"/>
      <c r="H32" s="289"/>
      <c r="I32" s="290"/>
      <c r="J32" s="287"/>
      <c r="K32" s="287"/>
      <c r="L32" s="287"/>
      <c r="M32" s="104"/>
      <c r="N32" s="151">
        <f>NORMSDIST(N31)</f>
        <v>2.6979711789090227E-2</v>
      </c>
      <c r="O32" s="43" t="s">
        <v>94</v>
      </c>
      <c r="P32" s="44"/>
      <c r="Q32" s="20"/>
      <c r="R32" s="20"/>
      <c r="S32" s="20"/>
      <c r="T32" s="20"/>
      <c r="U32" s="87"/>
    </row>
    <row r="33" spans="1:22" s="4" customFormat="1" ht="12.75" hidden="1" customHeight="1" x14ac:dyDescent="0.3">
      <c r="B33" s="173"/>
      <c r="G33" s="174"/>
      <c r="H33" s="175"/>
      <c r="I33" s="175"/>
      <c r="J33" s="179"/>
      <c r="K33" s="179"/>
      <c r="L33" s="179"/>
      <c r="M33" s="104"/>
      <c r="N33" s="153">
        <f>1-N32</f>
        <v>0.9730202882109098</v>
      </c>
      <c r="O33" s="155" t="s">
        <v>95</v>
      </c>
      <c r="P33" s="155"/>
      <c r="Q33" s="156"/>
      <c r="R33" s="176"/>
      <c r="S33" s="177"/>
      <c r="T33" s="177"/>
      <c r="U33" s="157"/>
    </row>
    <row r="34" spans="1:22" ht="15.75" hidden="1" customHeight="1" x14ac:dyDescent="0.35">
      <c r="B34" s="292" t="s">
        <v>96</v>
      </c>
      <c r="C34" s="56"/>
      <c r="D34" s="56"/>
      <c r="E34" s="56"/>
      <c r="F34" s="52"/>
      <c r="G34" s="288"/>
      <c r="H34" s="289"/>
      <c r="I34" s="290"/>
      <c r="J34" s="287"/>
      <c r="K34" s="287"/>
      <c r="L34" s="287"/>
      <c r="M34" s="100"/>
      <c r="N34" s="99"/>
      <c r="O34" s="20"/>
      <c r="P34" s="20"/>
      <c r="Q34" s="20"/>
      <c r="R34" s="20"/>
      <c r="S34" s="20"/>
      <c r="T34" s="20"/>
      <c r="U34" s="20"/>
      <c r="V34" s="20"/>
    </row>
    <row r="35" spans="1:22" s="12" customFormat="1" ht="12.75" hidden="1" customHeight="1" x14ac:dyDescent="0.3">
      <c r="B35" s="78"/>
      <c r="C35" s="57" t="s">
        <v>20</v>
      </c>
      <c r="D35" s="58" t="s">
        <v>21</v>
      </c>
      <c r="E35" s="20"/>
      <c r="F35" s="52"/>
      <c r="G35" s="180"/>
      <c r="H35" s="181"/>
      <c r="I35" s="182"/>
      <c r="J35" s="183"/>
      <c r="K35" s="183"/>
      <c r="L35" s="183"/>
      <c r="M35" s="117"/>
      <c r="N35" s="104"/>
      <c r="O35" s="4"/>
      <c r="P35" s="4"/>
      <c r="Q35" s="4"/>
      <c r="R35" s="4"/>
    </row>
    <row r="36" spans="1:22" ht="12.75" hidden="1" customHeight="1" x14ac:dyDescent="0.3">
      <c r="B36" s="184" t="s">
        <v>32</v>
      </c>
      <c r="C36" s="60" t="s">
        <v>3</v>
      </c>
      <c r="D36" s="61" t="s">
        <v>2</v>
      </c>
      <c r="E36" s="62" t="s">
        <v>22</v>
      </c>
      <c r="G36" s="100"/>
      <c r="H36" s="100"/>
      <c r="I36" s="100"/>
      <c r="J36" s="100"/>
      <c r="K36" s="100"/>
      <c r="L36" s="100"/>
      <c r="M36" s="100"/>
      <c r="N36" s="104"/>
      <c r="O36" s="4"/>
      <c r="P36" s="4"/>
      <c r="Q36" s="4"/>
      <c r="R36" s="4"/>
      <c r="U36" s="5"/>
      <c r="V36" s="5"/>
    </row>
    <row r="37" spans="1:22" ht="12.75" hidden="1" customHeight="1" x14ac:dyDescent="0.3">
      <c r="B37" s="185" t="s">
        <v>17</v>
      </c>
      <c r="C37" s="63">
        <f>F7*D9/F9</f>
        <v>6039.8222137983321</v>
      </c>
      <c r="D37" s="63">
        <f>F7*E9/F9</f>
        <v>4463.1777862016679</v>
      </c>
      <c r="E37" s="63">
        <f>F7</f>
        <v>10503</v>
      </c>
      <c r="G37" s="186"/>
      <c r="H37" s="187" t="s">
        <v>30</v>
      </c>
      <c r="I37" s="188">
        <f>CHIINV(0.05,K38)</f>
        <v>3.8414588206941236</v>
      </c>
      <c r="J37" s="100"/>
      <c r="K37" s="100"/>
      <c r="L37" s="100"/>
      <c r="M37" s="100"/>
      <c r="N37" s="104"/>
      <c r="O37" s="53"/>
      <c r="P37" s="53"/>
      <c r="Q37" s="53"/>
      <c r="R37" s="4"/>
      <c r="U37" s="5"/>
      <c r="V37" s="5"/>
    </row>
    <row r="38" spans="1:22" ht="12.75" hidden="1" customHeight="1" x14ac:dyDescent="0.3">
      <c r="B38" s="189" t="s">
        <v>18</v>
      </c>
      <c r="C38" s="63">
        <f>F8*D9/F9</f>
        <v>6096.1777862016679</v>
      </c>
      <c r="D38" s="63">
        <f>F8*E9/F9</f>
        <v>4504.8222137983321</v>
      </c>
      <c r="E38" s="63">
        <f>F8</f>
        <v>10601</v>
      </c>
      <c r="F38" s="12"/>
      <c r="G38" s="190"/>
      <c r="H38" s="190"/>
      <c r="I38" s="191"/>
      <c r="J38" s="192" t="s">
        <v>31</v>
      </c>
      <c r="K38" s="193">
        <f>(COUNT(C37:D37)-1)*(COUNT(C37:C38)-1)</f>
        <v>1</v>
      </c>
      <c r="L38" s="100"/>
      <c r="M38" s="100"/>
      <c r="N38" s="100"/>
      <c r="O38" s="53"/>
      <c r="P38" s="53"/>
      <c r="Q38" s="53"/>
      <c r="R38" s="4"/>
      <c r="U38" s="5"/>
      <c r="V38" s="5"/>
    </row>
    <row r="39" spans="1:22" ht="12.75" hidden="1" customHeight="1" x14ac:dyDescent="0.3">
      <c r="B39" s="194" t="s">
        <v>29</v>
      </c>
      <c r="C39" s="63">
        <f>SUM(C37:C38)</f>
        <v>12136</v>
      </c>
      <c r="D39" s="63">
        <f>SUM(D37:D38)</f>
        <v>8968</v>
      </c>
      <c r="E39" s="64">
        <f>SUM(E37:E38)</f>
        <v>21104</v>
      </c>
      <c r="F39" s="12"/>
      <c r="G39" s="117"/>
      <c r="H39" s="195" t="s">
        <v>33</v>
      </c>
      <c r="I39" s="73" t="s">
        <v>34</v>
      </c>
      <c r="J39" s="100"/>
      <c r="K39" s="100"/>
      <c r="L39" s="100"/>
      <c r="M39" s="100"/>
      <c r="N39" s="100"/>
      <c r="O39" s="53"/>
      <c r="P39" s="54"/>
      <c r="Q39" s="53"/>
      <c r="R39" s="4"/>
      <c r="U39" s="5"/>
      <c r="V39" s="5"/>
    </row>
    <row r="40" spans="1:22" ht="12.75" hidden="1" customHeight="1" x14ac:dyDescent="0.3">
      <c r="B40" s="194"/>
      <c r="C40" s="65"/>
      <c r="D40" s="65"/>
      <c r="E40" s="66"/>
      <c r="F40" s="12"/>
      <c r="G40" s="117"/>
      <c r="H40" s="195" t="s">
        <v>35</v>
      </c>
      <c r="I40" s="73" t="s">
        <v>36</v>
      </c>
      <c r="J40" s="100"/>
      <c r="K40" s="100"/>
      <c r="L40" s="100"/>
      <c r="M40" s="100"/>
      <c r="N40" s="100"/>
      <c r="O40" s="55"/>
      <c r="P40" s="55"/>
      <c r="Q40" s="55"/>
      <c r="R40" s="4"/>
      <c r="U40" s="5"/>
      <c r="V40" s="5"/>
    </row>
    <row r="41" spans="1:22" ht="26.25" hidden="1" customHeight="1" x14ac:dyDescent="0.3">
      <c r="A41" s="20"/>
      <c r="B41" s="291"/>
      <c r="C41" s="307" t="s">
        <v>97</v>
      </c>
      <c r="D41" s="308"/>
      <c r="G41" s="100"/>
      <c r="H41" s="196"/>
      <c r="I41" s="100"/>
      <c r="J41" s="100"/>
      <c r="K41" s="100"/>
      <c r="L41" s="100"/>
      <c r="M41" s="100"/>
      <c r="N41" s="100"/>
      <c r="O41" s="5"/>
      <c r="P41" s="5"/>
      <c r="U41" s="5"/>
      <c r="V41" s="5"/>
    </row>
    <row r="42" spans="1:22" ht="12.75" hidden="1" customHeight="1" x14ac:dyDescent="0.3">
      <c r="A42" s="20"/>
      <c r="B42" s="291"/>
      <c r="C42" s="67">
        <f>(D7-C37)^2/C37</f>
        <v>2.2967237904291879E-4</v>
      </c>
      <c r="D42" s="67">
        <f>(E7-D37)^2/D37</f>
        <v>3.1080552989126475E-4</v>
      </c>
      <c r="F42" s="59"/>
      <c r="G42" s="197"/>
      <c r="H42" s="100"/>
      <c r="I42" s="100"/>
      <c r="J42" s="104"/>
      <c r="K42" s="104"/>
      <c r="L42" s="198"/>
      <c r="M42" s="100"/>
      <c r="N42" s="100"/>
      <c r="O42" s="5"/>
      <c r="P42" s="5"/>
      <c r="U42" s="5"/>
      <c r="V42" s="5"/>
    </row>
    <row r="43" spans="1:22" ht="12.75" hidden="1" customHeight="1" x14ac:dyDescent="0.3">
      <c r="A43" s="20"/>
      <c r="B43" s="291"/>
      <c r="C43" s="67">
        <f>(D8-C38)^2/C38</f>
        <v>2.2754919319760173E-4</v>
      </c>
      <c r="D43" s="67">
        <f>(E8-D38)^2/D38</f>
        <v>3.0793231586151817E-4</v>
      </c>
      <c r="E43" s="16"/>
      <c r="F43" s="68" t="s">
        <v>37</v>
      </c>
      <c r="G43" s="199">
        <f>C45-I37</f>
        <v>-3.8403828612761304</v>
      </c>
      <c r="H43" s="100"/>
      <c r="I43" s="100"/>
      <c r="J43" s="104"/>
      <c r="K43" s="104"/>
      <c r="L43" s="100"/>
      <c r="M43" s="100"/>
      <c r="N43" s="100"/>
      <c r="O43" s="5"/>
      <c r="P43" s="5"/>
      <c r="U43" s="5"/>
      <c r="V43" s="5"/>
    </row>
    <row r="44" spans="1:22" ht="12.75" hidden="1" customHeight="1" x14ac:dyDescent="0.3">
      <c r="B44" s="73" t="s">
        <v>39</v>
      </c>
      <c r="D44" s="69"/>
      <c r="G44" s="80" t="s">
        <v>40</v>
      </c>
      <c r="H44" s="100"/>
      <c r="I44" s="100"/>
      <c r="J44" s="104"/>
      <c r="K44" s="104"/>
      <c r="L44" s="100"/>
      <c r="M44" s="100"/>
      <c r="N44" s="100"/>
      <c r="O44" s="5"/>
      <c r="P44" s="5"/>
      <c r="U44" s="5"/>
      <c r="V44" s="5"/>
    </row>
    <row r="45" spans="1:22" ht="13.5" hidden="1" customHeight="1" x14ac:dyDescent="0.3">
      <c r="B45" s="88" t="s">
        <v>38</v>
      </c>
      <c r="C45" s="200">
        <f>SUM(C42:D43)</f>
        <v>1.0759594179933034E-3</v>
      </c>
      <c r="D45" s="20"/>
      <c r="G45" s="80" t="s">
        <v>41</v>
      </c>
      <c r="H45" s="100"/>
      <c r="I45" s="201"/>
      <c r="J45" s="104"/>
      <c r="K45" s="104"/>
      <c r="L45" s="202"/>
      <c r="M45" s="100"/>
      <c r="N45" s="100"/>
      <c r="O45" s="5"/>
      <c r="P45" s="5"/>
      <c r="U45" s="5"/>
      <c r="V45" s="5"/>
    </row>
    <row r="46" spans="1:22" ht="12.75" hidden="1" customHeight="1" x14ac:dyDescent="0.3">
      <c r="B46" s="203" t="s">
        <v>58</v>
      </c>
      <c r="C46" s="204">
        <f>CHIDIST(C45,1)</f>
        <v>0.97383262656935554</v>
      </c>
      <c r="E46" s="20"/>
      <c r="F46" s="20"/>
      <c r="G46" s="99"/>
      <c r="H46" s="205"/>
      <c r="I46" s="99"/>
      <c r="J46" s="104"/>
      <c r="K46" s="104"/>
      <c r="L46" s="99"/>
      <c r="M46" s="100"/>
      <c r="N46" s="100"/>
      <c r="O46" s="5"/>
      <c r="P46" s="5"/>
      <c r="U46" s="5"/>
      <c r="V46" s="5"/>
    </row>
    <row r="47" spans="1:22" s="4" customFormat="1" ht="12.75" hidden="1" customHeight="1" x14ac:dyDescent="0.3">
      <c r="B47" s="112"/>
      <c r="E47" s="70"/>
      <c r="F47" s="70"/>
      <c r="G47" s="104"/>
      <c r="H47" s="104"/>
      <c r="I47" s="206"/>
      <c r="J47" s="104"/>
      <c r="K47" s="104"/>
      <c r="L47" s="104"/>
      <c r="M47" s="104"/>
      <c r="N47" s="104"/>
    </row>
    <row r="48" spans="1:22" ht="13.5" hidden="1" customHeight="1" x14ac:dyDescent="0.3">
      <c r="B48" s="78"/>
      <c r="G48" s="100"/>
      <c r="H48" s="100"/>
      <c r="I48" s="100"/>
      <c r="J48" s="104"/>
      <c r="K48" s="104"/>
      <c r="L48" s="100"/>
      <c r="M48" s="100"/>
      <c r="N48" s="100"/>
      <c r="O48" s="5"/>
      <c r="P48" s="5"/>
      <c r="U48" s="5"/>
      <c r="V48" s="5"/>
    </row>
    <row r="49" spans="2:22" ht="12.75" hidden="1" customHeight="1" x14ac:dyDescent="0.3">
      <c r="B49" s="207" t="s">
        <v>98</v>
      </c>
      <c r="C49" s="86"/>
      <c r="D49" s="86"/>
      <c r="E49" s="86"/>
      <c r="F49" s="86"/>
      <c r="G49" s="86"/>
      <c r="H49" s="208"/>
      <c r="I49" s="100"/>
      <c r="J49" s="209" t="s">
        <v>99</v>
      </c>
      <c r="K49" s="210"/>
      <c r="L49" s="211"/>
      <c r="M49" s="211"/>
      <c r="N49" s="211"/>
      <c r="O49" s="76"/>
      <c r="P49" s="5"/>
      <c r="U49" s="5"/>
      <c r="V49" s="5"/>
    </row>
    <row r="50" spans="2:22" ht="12.75" hidden="1" customHeight="1" x14ac:dyDescent="0.3">
      <c r="B50" s="212">
        <f>I2*100</f>
        <v>95</v>
      </c>
      <c r="C50" s="52"/>
      <c r="D50" s="52"/>
      <c r="E50" s="4"/>
      <c r="F50" s="4"/>
      <c r="G50" s="4"/>
      <c r="H50" s="87"/>
      <c r="I50" s="100"/>
      <c r="J50" s="213"/>
      <c r="K50" s="104"/>
      <c r="L50" s="99"/>
      <c r="M50" s="99"/>
      <c r="N50" s="99"/>
      <c r="O50" s="143"/>
      <c r="P50" s="5"/>
      <c r="U50" s="5"/>
      <c r="V50" s="5"/>
    </row>
    <row r="51" spans="2:22" ht="12.75" hidden="1" customHeight="1" x14ac:dyDescent="0.3">
      <c r="B51" s="214" t="s">
        <v>44</v>
      </c>
      <c r="C51" s="215"/>
      <c r="D51" s="215"/>
      <c r="E51" s="1">
        <f>ROUND(G14,2)</f>
        <v>1</v>
      </c>
      <c r="F51" s="48">
        <f>ROUND(J26,4)</f>
        <v>-2.0000000000000001E-4</v>
      </c>
      <c r="G51" s="216">
        <f>ROUND(J27,0)</f>
        <v>-4479</v>
      </c>
      <c r="H51" s="217"/>
      <c r="I51" s="100"/>
      <c r="J51" s="218" t="s">
        <v>44</v>
      </c>
      <c r="K51" s="4"/>
      <c r="L51" s="4"/>
      <c r="M51" s="4"/>
      <c r="N51" s="99"/>
      <c r="O51" s="143"/>
      <c r="P51" s="5"/>
      <c r="U51" s="5"/>
      <c r="V51" s="5"/>
    </row>
    <row r="52" spans="2:22" ht="12.75" hidden="1" customHeight="1" x14ac:dyDescent="0.3">
      <c r="B52" s="214" t="s">
        <v>46</v>
      </c>
      <c r="C52" s="20"/>
      <c r="D52" s="20"/>
      <c r="E52" s="1">
        <f>ROUND(H14,2)</f>
        <v>0.98</v>
      </c>
      <c r="F52" s="48">
        <f>ROUND(L26,4)</f>
        <v>-1.3599999999999999E-2</v>
      </c>
      <c r="G52" s="216">
        <f>ROUND(L27,0)</f>
        <v>-74</v>
      </c>
      <c r="H52" s="217"/>
      <c r="I52" s="100"/>
      <c r="J52" s="218" t="s">
        <v>46</v>
      </c>
      <c r="K52" s="219" t="str">
        <f>ROUND(J21,4)*100&amp;J54</f>
        <v>57,52%</v>
      </c>
      <c r="L52" s="219" t="str">
        <f>ROUND(K21,4)*100&amp;J54</f>
        <v>56,57%</v>
      </c>
      <c r="M52" s="219" t="str">
        <f>ROUND(L21,4)*100&amp;J54</f>
        <v>58,46%</v>
      </c>
      <c r="N52" s="79" t="str">
        <f>CONCATENATE(K52," ",J51,L52," ",J55," ",M52,J53)</f>
        <v>57,52% (56,57% a 58,46%)</v>
      </c>
      <c r="O52" s="143"/>
      <c r="P52" s="5"/>
      <c r="U52" s="5"/>
      <c r="V52" s="5"/>
    </row>
    <row r="53" spans="2:22" s="12" customFormat="1" ht="12.75" hidden="1" customHeight="1" x14ac:dyDescent="0.3">
      <c r="B53" s="214" t="s">
        <v>45</v>
      </c>
      <c r="C53" s="215">
        <f>ROUND(D7,0)</f>
        <v>6041</v>
      </c>
      <c r="D53" s="215">
        <f>ROUND(D8,0)</f>
        <v>6095</v>
      </c>
      <c r="E53" s="1">
        <f>ROUND(I14,2)</f>
        <v>1.02</v>
      </c>
      <c r="F53" s="48">
        <f>ROUND(K26,4)</f>
        <v>1.3100000000000001E-2</v>
      </c>
      <c r="G53" s="216">
        <f>ROUND(K27,0)</f>
        <v>76</v>
      </c>
      <c r="H53" s="220">
        <f>ROUND(N32,4)</f>
        <v>2.7E-2</v>
      </c>
      <c r="I53" s="117"/>
      <c r="J53" s="218" t="s">
        <v>45</v>
      </c>
      <c r="K53" s="71" t="str">
        <f>ROUND(J22,4)*100&amp;J54</f>
        <v>57,49%</v>
      </c>
      <c r="L53" s="71" t="str">
        <f>ROUND(K22,4)*100&amp;J54</f>
        <v>56,55%</v>
      </c>
      <c r="M53" s="71" t="str">
        <f>ROUND(L22,4)*100&amp;J54</f>
        <v>58,43%</v>
      </c>
      <c r="N53" s="79" t="str">
        <f>CONCATENATE(K53," ",J51,L53," ",J55," ",M53,J53)</f>
        <v>57,49% (56,55% a 58,43%)</v>
      </c>
      <c r="O53" s="87"/>
    </row>
    <row r="54" spans="2:22" ht="12.75" hidden="1" customHeight="1" x14ac:dyDescent="0.3">
      <c r="B54" s="214" t="s">
        <v>47</v>
      </c>
      <c r="C54" s="221" t="s">
        <v>54</v>
      </c>
      <c r="D54" s="221" t="s">
        <v>55</v>
      </c>
      <c r="E54" s="221" t="s">
        <v>4</v>
      </c>
      <c r="F54" s="221" t="s">
        <v>50</v>
      </c>
      <c r="G54" s="222" t="s">
        <v>48</v>
      </c>
      <c r="H54" s="186" t="s">
        <v>51</v>
      </c>
      <c r="I54" s="100"/>
      <c r="J54" s="218" t="s">
        <v>47</v>
      </c>
      <c r="K54" s="71" t="str">
        <f>ROUND(J23,4)*100&amp;J54</f>
        <v>57,51%</v>
      </c>
      <c r="L54" s="71" t="str">
        <f>ROUND(K23,4)*100&amp;J54</f>
        <v>56,84%</v>
      </c>
      <c r="M54" s="71" t="str">
        <f>ROUND(L23,4)*100&amp;J54</f>
        <v>58,17%</v>
      </c>
      <c r="N54" s="79" t="str">
        <f>CONCATENATE(K54," ",J51,L54," ",J55," ",M54,J53)</f>
        <v>57,51% (56,84% a 58,17%)</v>
      </c>
      <c r="O54" s="87"/>
    </row>
    <row r="55" spans="2:22" ht="12.75" hidden="1" customHeight="1" x14ac:dyDescent="0.3">
      <c r="B55" s="223" t="s">
        <v>19</v>
      </c>
      <c r="C55" s="224" t="str">
        <f>CONCATENATE(C53,B56,C21," ",B51,K52,B53)</f>
        <v>6041/10503 (57,52%)</v>
      </c>
      <c r="D55" s="95" t="str">
        <f>CONCATENATE(D53,B56,C22," ",B51,K53,B53)</f>
        <v>6095/10601 (57,49%)</v>
      </c>
      <c r="E55" s="224" t="str">
        <f>CONCATENATE(E51," ",B51,E52,B52,E53,B53)</f>
        <v>1 (0,98-1,02)</v>
      </c>
      <c r="F55" s="224" t="str">
        <f>CONCATENATE(F51*100,B54," ",B51,F52*100,B54," ",B55," ",F53*100,B54,B53)</f>
        <v>-0,02% (-1,36% a 1,31%)</v>
      </c>
      <c r="G55" s="186" t="str">
        <f>CONCATENATE(G51," ",B51,G53," ",B55," ",G52,B53)</f>
        <v>-4479 (76 a -74)</v>
      </c>
      <c r="H55" s="186" t="str">
        <f>CONCATENATE(H53*100,B54)</f>
        <v>2,7%</v>
      </c>
      <c r="I55" s="100"/>
      <c r="J55" s="225" t="s">
        <v>19</v>
      </c>
      <c r="K55" s="20"/>
      <c r="L55" s="20"/>
      <c r="M55" s="20"/>
      <c r="N55" s="99"/>
      <c r="O55" s="143"/>
      <c r="P55" s="5"/>
      <c r="U55" s="5"/>
      <c r="V55" s="5"/>
    </row>
    <row r="56" spans="2:22" ht="13.5" hidden="1" customHeight="1" x14ac:dyDescent="0.3">
      <c r="B56" s="226" t="s">
        <v>49</v>
      </c>
      <c r="C56" s="159"/>
      <c r="D56" s="159"/>
      <c r="E56" s="159"/>
      <c r="F56" s="159"/>
      <c r="G56" s="227"/>
      <c r="H56" s="228"/>
      <c r="I56" s="100"/>
      <c r="J56" s="229" t="s">
        <v>49</v>
      </c>
      <c r="K56" s="159"/>
      <c r="L56" s="159"/>
      <c r="M56" s="159"/>
      <c r="N56" s="230"/>
      <c r="O56" s="157"/>
      <c r="P56" s="5"/>
      <c r="U56" s="5"/>
      <c r="V56" s="5"/>
    </row>
    <row r="57" spans="2:22" hidden="1" x14ac:dyDescent="0.3">
      <c r="B57" s="78"/>
      <c r="G57" s="100"/>
      <c r="H57" s="100"/>
      <c r="I57" s="100"/>
      <c r="J57" s="100"/>
      <c r="K57" s="100"/>
      <c r="L57" s="104"/>
      <c r="M57" s="100"/>
      <c r="N57" s="100"/>
      <c r="O57" s="5"/>
      <c r="P57" s="5"/>
      <c r="U57" s="5"/>
      <c r="V57" s="5"/>
    </row>
    <row r="58" spans="2:22" ht="27" customHeight="1" x14ac:dyDescent="0.3">
      <c r="B58" s="78"/>
      <c r="C58" s="231" t="s">
        <v>54</v>
      </c>
      <c r="D58" s="231" t="s">
        <v>55</v>
      </c>
      <c r="E58" s="232" t="str">
        <f>CONCATENATE(E54," ",B51,H2," ",B50,B54,B53)</f>
        <v>RR (IC 95%)</v>
      </c>
      <c r="F58" s="232" t="str">
        <f>CONCATENATE(F54," ",B51,H2," ",B50,B54,B53)</f>
        <v>RAR (IC 95%)</v>
      </c>
      <c r="G58" s="232" t="str">
        <f>CONCATENATE(G54," ",B51,H2," ",B50,B54,B53)</f>
        <v>NNT (IC 95%)</v>
      </c>
      <c r="H58" s="232" t="s">
        <v>52</v>
      </c>
      <c r="I58" s="233"/>
      <c r="J58" s="232" t="s">
        <v>59</v>
      </c>
      <c r="L58" s="232" t="s">
        <v>100</v>
      </c>
      <c r="M58" s="232" t="s">
        <v>101</v>
      </c>
      <c r="O58" s="5"/>
      <c r="P58" s="5"/>
      <c r="U58" s="5"/>
      <c r="V58" s="5"/>
    </row>
    <row r="59" spans="2:22" ht="21" customHeight="1" x14ac:dyDescent="0.3">
      <c r="B59" s="78"/>
      <c r="C59" s="95" t="str">
        <f t="shared" ref="C59:H59" si="0">C55</f>
        <v>6041/10503 (57,52%)</v>
      </c>
      <c r="D59" s="95" t="str">
        <f t="shared" si="0"/>
        <v>6095/10601 (57,49%)</v>
      </c>
      <c r="E59" s="95" t="str">
        <f t="shared" si="0"/>
        <v>1 (0,98-1,02)</v>
      </c>
      <c r="F59" s="95" t="str">
        <f t="shared" si="0"/>
        <v>-0,02% (-1,36% a 1,31%)</v>
      </c>
      <c r="G59" s="95" t="str">
        <f t="shared" si="0"/>
        <v>-4479 (76 a -74)</v>
      </c>
      <c r="H59" s="95" t="str">
        <f t="shared" si="0"/>
        <v>2,7%</v>
      </c>
      <c r="I59" s="234"/>
      <c r="J59" s="235">
        <f>C46</f>
        <v>0.97383262656935554</v>
      </c>
      <c r="L59" s="236">
        <f>IF((K26*L26&lt;0),J23,J21)</f>
        <v>0.57505686125852917</v>
      </c>
      <c r="M59" s="236">
        <f>IF((K26*L26&lt;0),J23,J22)</f>
        <v>0.57505686125852917</v>
      </c>
      <c r="O59" s="5"/>
      <c r="P59" s="5"/>
      <c r="U59" s="5"/>
      <c r="V59" s="5"/>
    </row>
    <row r="60" spans="2:22" x14ac:dyDescent="0.3">
      <c r="L60" s="4"/>
    </row>
    <row r="61" spans="2:22" x14ac:dyDescent="0.3">
      <c r="L61" s="4"/>
    </row>
    <row r="62" spans="2:22" x14ac:dyDescent="0.3">
      <c r="B62" s="260" t="s">
        <v>190</v>
      </c>
    </row>
    <row r="63" spans="2:22" x14ac:dyDescent="0.3">
      <c r="B63" s="246" t="s">
        <v>105</v>
      </c>
    </row>
    <row r="64" spans="2:22" ht="13.5" thickBot="1" x14ac:dyDescent="0.35"/>
    <row r="65" spans="2:12" ht="33.5" customHeight="1" thickBot="1" x14ac:dyDescent="0.35">
      <c r="B65" s="309" t="s">
        <v>189</v>
      </c>
      <c r="C65" s="310"/>
      <c r="D65" s="310"/>
      <c r="E65" s="311"/>
    </row>
    <row r="66" spans="2:12" ht="56" customHeight="1" thickBot="1" x14ac:dyDescent="0.35">
      <c r="B66" s="239" t="s">
        <v>104</v>
      </c>
      <c r="C66" s="240" t="s">
        <v>106</v>
      </c>
      <c r="D66" s="241" t="s">
        <v>107</v>
      </c>
      <c r="E66" s="242" t="s">
        <v>103</v>
      </c>
    </row>
    <row r="67" spans="2:12" ht="11.5" customHeight="1" thickBot="1" x14ac:dyDescent="0.35">
      <c r="B67" s="251"/>
      <c r="C67" s="252"/>
      <c r="D67" s="252"/>
      <c r="E67" s="252"/>
    </row>
    <row r="68" spans="2:12" ht="16" customHeight="1" x14ac:dyDescent="0.3">
      <c r="B68" s="244" t="s">
        <v>135</v>
      </c>
      <c r="C68" s="253" t="s">
        <v>133</v>
      </c>
      <c r="D68" s="253" t="s">
        <v>134</v>
      </c>
      <c r="E68" s="254">
        <v>0.11631164971066052</v>
      </c>
      <c r="K68" s="80"/>
      <c r="L68" s="80"/>
    </row>
    <row r="69" spans="2:12" ht="16" customHeight="1" x14ac:dyDescent="0.3">
      <c r="B69" s="245" t="s">
        <v>193</v>
      </c>
      <c r="C69" s="255" t="s">
        <v>136</v>
      </c>
      <c r="D69" s="255" t="s">
        <v>137</v>
      </c>
      <c r="E69" s="256">
        <v>0.4510578618936012</v>
      </c>
      <c r="K69" s="80"/>
      <c r="L69" s="80"/>
    </row>
    <row r="70" spans="2:12" ht="16" customHeight="1" x14ac:dyDescent="0.3">
      <c r="B70" s="245" t="s">
        <v>192</v>
      </c>
      <c r="C70" s="255" t="s">
        <v>138</v>
      </c>
      <c r="D70" s="255" t="s">
        <v>139</v>
      </c>
      <c r="E70" s="256">
        <v>0.10376074950992349</v>
      </c>
      <c r="K70" s="80"/>
      <c r="L70" s="80"/>
    </row>
    <row r="71" spans="2:12" ht="16" customHeight="1" thickBot="1" x14ac:dyDescent="0.35">
      <c r="B71" s="243" t="s">
        <v>140</v>
      </c>
      <c r="C71" s="249" t="s">
        <v>141</v>
      </c>
      <c r="D71" s="249" t="s">
        <v>142</v>
      </c>
      <c r="E71" s="250">
        <v>1</v>
      </c>
      <c r="K71" s="80"/>
      <c r="L71" s="80"/>
    </row>
    <row r="72" spans="2:12" ht="3.5" customHeight="1" thickBot="1" x14ac:dyDescent="0.35">
      <c r="B72" s="251"/>
      <c r="C72" s="276"/>
      <c r="D72" s="276"/>
      <c r="E72" s="276"/>
      <c r="K72" s="80"/>
      <c r="L72" s="80"/>
    </row>
    <row r="73" spans="2:12" ht="16" customHeight="1" thickBot="1" x14ac:dyDescent="0.35">
      <c r="B73" s="273" t="s">
        <v>108</v>
      </c>
      <c r="C73" s="274" t="s">
        <v>152</v>
      </c>
      <c r="D73" s="274" t="s">
        <v>153</v>
      </c>
      <c r="E73" s="275">
        <v>0.97383262656935554</v>
      </c>
      <c r="K73" s="80"/>
      <c r="L73" s="80"/>
    </row>
    <row r="74" spans="2:12" ht="16" customHeight="1" thickBot="1" x14ac:dyDescent="0.35">
      <c r="B74" s="251" t="s">
        <v>109</v>
      </c>
      <c r="C74" s="251"/>
      <c r="D74" s="251"/>
      <c r="E74" s="251"/>
      <c r="K74" s="80"/>
      <c r="L74" s="80"/>
    </row>
    <row r="75" spans="2:12" ht="16" customHeight="1" x14ac:dyDescent="0.3">
      <c r="B75" s="244" t="s">
        <v>110</v>
      </c>
      <c r="C75" s="253" t="s">
        <v>143</v>
      </c>
      <c r="D75" s="253" t="s">
        <v>148</v>
      </c>
      <c r="E75" s="254">
        <v>0.39929827275781404</v>
      </c>
      <c r="K75" s="80"/>
      <c r="L75" s="80"/>
    </row>
    <row r="76" spans="2:12" ht="16" customHeight="1" thickBot="1" x14ac:dyDescent="0.35">
      <c r="B76" s="264" t="s">
        <v>111</v>
      </c>
      <c r="C76" s="265" t="s">
        <v>144</v>
      </c>
      <c r="D76" s="265" t="s">
        <v>149</v>
      </c>
      <c r="E76" s="266">
        <v>0.39929827275781404</v>
      </c>
      <c r="K76" s="80"/>
      <c r="L76" s="80"/>
    </row>
    <row r="77" spans="2:12" ht="16" customHeight="1" thickBot="1" x14ac:dyDescent="0.35">
      <c r="B77" s="251" t="s">
        <v>112</v>
      </c>
      <c r="C77" s="251"/>
      <c r="D77" s="251"/>
      <c r="E77" s="251"/>
      <c r="K77" s="80"/>
      <c r="L77" s="80"/>
    </row>
    <row r="78" spans="2:12" ht="16" customHeight="1" x14ac:dyDescent="0.3">
      <c r="B78" s="244" t="s">
        <v>113</v>
      </c>
      <c r="C78" s="253" t="s">
        <v>154</v>
      </c>
      <c r="D78" s="253" t="s">
        <v>155</v>
      </c>
      <c r="E78" s="254">
        <v>0.15669747282398513</v>
      </c>
      <c r="K78" s="80"/>
      <c r="L78" s="80"/>
    </row>
    <row r="79" spans="2:12" ht="16" customHeight="1" thickBot="1" x14ac:dyDescent="0.35">
      <c r="B79" s="264" t="s">
        <v>114</v>
      </c>
      <c r="C79" s="265" t="s">
        <v>156</v>
      </c>
      <c r="D79" s="265" t="s">
        <v>157</v>
      </c>
      <c r="E79" s="266">
        <v>0.15669747282398513</v>
      </c>
      <c r="K79" s="80"/>
      <c r="L79" s="80"/>
    </row>
    <row r="80" spans="2:12" ht="16" customHeight="1" thickBot="1" x14ac:dyDescent="0.35">
      <c r="B80" s="262" t="s">
        <v>115</v>
      </c>
      <c r="C80" s="262"/>
      <c r="D80" s="262"/>
      <c r="E80" s="262"/>
      <c r="K80" s="80"/>
      <c r="L80" s="80"/>
    </row>
    <row r="81" spans="2:12" ht="16" customHeight="1" x14ac:dyDescent="0.3">
      <c r="B81" s="244" t="s">
        <v>116</v>
      </c>
      <c r="C81" s="253" t="s">
        <v>158</v>
      </c>
      <c r="D81" s="253" t="s">
        <v>159</v>
      </c>
      <c r="E81" s="254">
        <v>0.12559542099517571</v>
      </c>
      <c r="K81" s="80"/>
      <c r="L81" s="80"/>
    </row>
    <row r="82" spans="2:12" ht="16" customHeight="1" x14ac:dyDescent="0.3">
      <c r="B82" s="267" t="s">
        <v>117</v>
      </c>
      <c r="C82" s="268" t="s">
        <v>145</v>
      </c>
      <c r="D82" s="268" t="s">
        <v>150</v>
      </c>
      <c r="E82" s="269">
        <v>0.24576842871947358</v>
      </c>
      <c r="K82" s="80"/>
      <c r="L82" s="80"/>
    </row>
    <row r="83" spans="2:12" ht="16" customHeight="1" thickBot="1" x14ac:dyDescent="0.35">
      <c r="B83" s="257" t="s">
        <v>118</v>
      </c>
      <c r="C83" s="249" t="s">
        <v>146</v>
      </c>
      <c r="D83" s="249" t="s">
        <v>151</v>
      </c>
      <c r="E83" s="250">
        <v>0.39265955194557767</v>
      </c>
      <c r="K83" s="80"/>
      <c r="L83" s="80"/>
    </row>
    <row r="84" spans="2:12" ht="16" customHeight="1" thickBot="1" x14ac:dyDescent="0.35">
      <c r="B84" s="261" t="s">
        <v>130</v>
      </c>
      <c r="C84" s="261"/>
      <c r="D84" s="261"/>
      <c r="E84" s="261"/>
      <c r="K84" s="80"/>
      <c r="L84" s="80"/>
    </row>
    <row r="85" spans="2:12" ht="16" customHeight="1" x14ac:dyDescent="0.3">
      <c r="B85" s="244" t="s">
        <v>119</v>
      </c>
      <c r="C85" s="253" t="s">
        <v>160</v>
      </c>
      <c r="D85" s="253" t="s">
        <v>161</v>
      </c>
      <c r="E85" s="254">
        <v>0.74795084136959056</v>
      </c>
      <c r="G85" s="278"/>
      <c r="K85" s="80"/>
      <c r="L85" s="80"/>
    </row>
    <row r="86" spans="2:12" ht="16" customHeight="1" x14ac:dyDescent="0.3">
      <c r="B86" s="245" t="s">
        <v>121</v>
      </c>
      <c r="C86" s="255" t="s">
        <v>162</v>
      </c>
      <c r="D86" s="255" t="s">
        <v>163</v>
      </c>
      <c r="E86" s="256">
        <v>9.2365652509033988E-2</v>
      </c>
      <c r="G86" s="278"/>
      <c r="K86" s="80"/>
      <c r="L86" s="80"/>
    </row>
    <row r="87" spans="2:12" ht="16" customHeight="1" x14ac:dyDescent="0.3">
      <c r="B87" s="245" t="s">
        <v>120</v>
      </c>
      <c r="C87" s="255" t="s">
        <v>164</v>
      </c>
      <c r="D87" s="255" t="s">
        <v>165</v>
      </c>
      <c r="E87" s="256">
        <v>0.24218458882349189</v>
      </c>
      <c r="F87" s="277"/>
      <c r="K87" s="80"/>
      <c r="L87" s="80"/>
    </row>
    <row r="88" spans="2:12" ht="16" customHeight="1" x14ac:dyDescent="0.3">
      <c r="B88" s="245" t="s">
        <v>122</v>
      </c>
      <c r="C88" s="255" t="s">
        <v>166</v>
      </c>
      <c r="D88" s="255" t="s">
        <v>167</v>
      </c>
      <c r="E88" s="256">
        <v>0.25062401653669636</v>
      </c>
      <c r="F88" s="277"/>
      <c r="K88" s="80"/>
      <c r="L88" s="80"/>
    </row>
    <row r="89" spans="2:12" ht="16" customHeight="1" x14ac:dyDescent="0.3">
      <c r="B89" s="245" t="s">
        <v>123</v>
      </c>
      <c r="C89" s="255" t="s">
        <v>168</v>
      </c>
      <c r="D89" s="255" t="s">
        <v>169</v>
      </c>
      <c r="E89" s="256">
        <v>0.60663468169295376</v>
      </c>
      <c r="F89" s="277"/>
      <c r="K89" s="80"/>
      <c r="L89" s="80"/>
    </row>
    <row r="90" spans="2:12" ht="16" customHeight="1" thickBot="1" x14ac:dyDescent="0.35">
      <c r="B90" s="243" t="s">
        <v>124</v>
      </c>
      <c r="C90" s="249" t="s">
        <v>170</v>
      </c>
      <c r="D90" s="249" t="s">
        <v>171</v>
      </c>
      <c r="E90" s="250">
        <v>0.7579404683388542</v>
      </c>
      <c r="F90" s="277"/>
      <c r="K90" s="80"/>
      <c r="L90" s="80"/>
    </row>
    <row r="91" spans="2:12" ht="16" customHeight="1" thickBot="1" x14ac:dyDescent="0.35">
      <c r="B91" s="251" t="s">
        <v>183</v>
      </c>
      <c r="C91" s="251"/>
      <c r="D91" s="251"/>
      <c r="E91" s="251"/>
      <c r="K91" s="80"/>
      <c r="L91" s="80"/>
    </row>
    <row r="92" spans="2:12" ht="16" customHeight="1" x14ac:dyDescent="0.3">
      <c r="B92" s="270" t="s">
        <v>184</v>
      </c>
      <c r="C92" s="258" t="s">
        <v>172</v>
      </c>
      <c r="D92" s="258" t="s">
        <v>173</v>
      </c>
      <c r="E92" s="254">
        <v>0.34658324141627572</v>
      </c>
      <c r="K92" s="80"/>
      <c r="L92" s="80"/>
    </row>
    <row r="93" spans="2:12" ht="16" customHeight="1" x14ac:dyDescent="0.3">
      <c r="B93" s="271" t="s">
        <v>125</v>
      </c>
      <c r="C93" s="259" t="s">
        <v>174</v>
      </c>
      <c r="D93" s="259" t="s">
        <v>175</v>
      </c>
      <c r="E93" s="256">
        <v>0.10819608434562271</v>
      </c>
      <c r="K93" s="80"/>
      <c r="L93" s="80"/>
    </row>
    <row r="94" spans="2:12" ht="16" customHeight="1" x14ac:dyDescent="0.3">
      <c r="B94" s="271" t="s">
        <v>126</v>
      </c>
      <c r="C94" s="259" t="s">
        <v>147</v>
      </c>
      <c r="D94" s="259" t="s">
        <v>176</v>
      </c>
      <c r="E94" s="256">
        <v>0.5535196835991314</v>
      </c>
      <c r="K94" s="80"/>
      <c r="L94" s="80"/>
    </row>
    <row r="95" spans="2:12" ht="16" customHeight="1" x14ac:dyDescent="0.3">
      <c r="B95" s="271" t="s">
        <v>191</v>
      </c>
      <c r="C95" s="259" t="s">
        <v>178</v>
      </c>
      <c r="D95" s="259" t="s">
        <v>177</v>
      </c>
      <c r="E95" s="256">
        <v>0.23298186974768073</v>
      </c>
      <c r="K95" s="80"/>
      <c r="L95" s="80"/>
    </row>
    <row r="96" spans="2:12" ht="16" customHeight="1" x14ac:dyDescent="0.3">
      <c r="B96" s="271" t="s">
        <v>127</v>
      </c>
      <c r="C96" s="259" t="s">
        <v>179</v>
      </c>
      <c r="D96" s="259" t="s">
        <v>180</v>
      </c>
      <c r="E96" s="256">
        <v>0.33371236679148414</v>
      </c>
      <c r="K96" s="80"/>
      <c r="L96" s="80"/>
    </row>
    <row r="97" spans="2:12" ht="16" customHeight="1" x14ac:dyDescent="0.3">
      <c r="B97" s="271" t="s">
        <v>128</v>
      </c>
      <c r="C97" s="259" t="s">
        <v>181</v>
      </c>
      <c r="D97" s="259" t="s">
        <v>182</v>
      </c>
      <c r="E97" s="256">
        <v>0.44055353599772634</v>
      </c>
      <c r="K97" s="80"/>
      <c r="L97" s="80"/>
    </row>
    <row r="98" spans="2:12" ht="16" customHeight="1" thickBot="1" x14ac:dyDescent="0.35">
      <c r="B98" s="272" t="s">
        <v>129</v>
      </c>
      <c r="C98" s="263" t="s">
        <v>131</v>
      </c>
      <c r="D98" s="263" t="s">
        <v>132</v>
      </c>
      <c r="E98" s="250">
        <v>0.29604718502017113</v>
      </c>
      <c r="K98" s="80"/>
      <c r="L98" s="80"/>
    </row>
  </sheetData>
  <mergeCells count="4">
    <mergeCell ref="B2:F2"/>
    <mergeCell ref="B3:F3"/>
    <mergeCell ref="C41:D41"/>
    <mergeCell ref="B65:E65"/>
  </mergeCells>
  <phoneticPr fontId="2" type="noConversion"/>
  <pageMargins left="0.17" right="0.17" top="0.21" bottom="0.7" header="0" footer="0"/>
  <pageSetup paperSize="9" scale="85" orientation="landscape" r:id="rId1"/>
  <headerFooter alignWithMargins="0"/>
  <ignoredErrors>
    <ignoredError sqref="D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Baseline TIME</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2012-06-13T14:26:24Z</cp:lastPrinted>
  <dcterms:created xsi:type="dcterms:W3CDTF">2009-05-28T14:19:22Z</dcterms:created>
  <dcterms:modified xsi:type="dcterms:W3CDTF">2023-01-07T11:52:27Z</dcterms:modified>
</cp:coreProperties>
</file>