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oa\Desktop\20221213-PROMINENT\"/>
    </mc:Choice>
  </mc:AlternateContent>
  <xr:revisionPtr revIDLastSave="0" documentId="13_ncr:1_{1E198604-E47B-48EA-8B64-AF4BCFEA0438}" xr6:coauthVersionLast="36" xr6:coauthVersionMax="47" xr10:uidLastSave="{00000000-0000-0000-0000-000000000000}"/>
  <bookViews>
    <workbookView xWindow="-110" yWindow="-110" windowWidth="19420" windowHeight="10420" tabRatio="642" xr2:uid="{00000000-000D-0000-FFFF-FFFF00000000}"/>
  </bookViews>
  <sheets>
    <sheet name="t nnt-1 y 2, IncAcum" sheetId="6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9" i="6" l="1"/>
  <c r="D53" i="6"/>
  <c r="C53" i="6"/>
  <c r="B50" i="6"/>
  <c r="G58" i="6" s="1"/>
  <c r="E38" i="6"/>
  <c r="E37" i="6"/>
  <c r="E39" i="6" s="1"/>
  <c r="I23" i="6"/>
  <c r="I22" i="6"/>
  <c r="C22" i="6"/>
  <c r="G22" i="6" s="1"/>
  <c r="B22" i="6"/>
  <c r="E22" i="6" s="1"/>
  <c r="I21" i="6"/>
  <c r="C21" i="6"/>
  <c r="G21" i="6" s="1"/>
  <c r="B21" i="6"/>
  <c r="E21" i="6" s="1"/>
  <c r="T14" i="6"/>
  <c r="P14" i="6"/>
  <c r="O14" i="6"/>
  <c r="G14" i="6"/>
  <c r="E51" i="6" s="1"/>
  <c r="D14" i="6"/>
  <c r="B14" i="6"/>
  <c r="F9" i="6"/>
  <c r="N21" i="6" s="1"/>
  <c r="E9" i="6"/>
  <c r="D9" i="6"/>
  <c r="C37" i="6" s="1"/>
  <c r="O8" i="6"/>
  <c r="C14" i="6"/>
  <c r="S5" i="6"/>
  <c r="D22" i="6" l="1"/>
  <c r="F22" i="6" s="1"/>
  <c r="C23" i="6"/>
  <c r="G23" i="6" s="1"/>
  <c r="D37" i="6"/>
  <c r="D42" i="6" s="1"/>
  <c r="R14" i="6"/>
  <c r="S14" i="6"/>
  <c r="S6" i="6" s="1"/>
  <c r="C42" i="6"/>
  <c r="O9" i="6"/>
  <c r="O7" i="6"/>
  <c r="F14" i="6"/>
  <c r="I14" i="6" s="1"/>
  <c r="S59" i="6"/>
  <c r="Q14" i="6"/>
  <c r="S7" i="6"/>
  <c r="V6" i="6"/>
  <c r="D38" i="6"/>
  <c r="D43" i="6" s="1"/>
  <c r="B23" i="6"/>
  <c r="K14" i="6"/>
  <c r="C38" i="6"/>
  <c r="C43" i="6" s="1"/>
  <c r="N23" i="6"/>
  <c r="E14" i="6"/>
  <c r="H14" i="6" s="1"/>
  <c r="D21" i="6"/>
  <c r="F21" i="6" s="1"/>
  <c r="L21" i="6" s="1"/>
  <c r="M52" i="6" s="1"/>
  <c r="J22" i="6"/>
  <c r="K53" i="6" s="1"/>
  <c r="E58" i="6"/>
  <c r="T59" i="6"/>
  <c r="F58" i="6"/>
  <c r="L22" i="6" l="1"/>
  <c r="M53" i="6" s="1"/>
  <c r="K22" i="6"/>
  <c r="L53" i="6" s="1"/>
  <c r="N53" i="6" s="1"/>
  <c r="J26" i="6"/>
  <c r="J27" i="6" s="1"/>
  <c r="K21" i="6"/>
  <c r="L52" i="6" s="1"/>
  <c r="E23" i="6"/>
  <c r="D23" i="6"/>
  <c r="D39" i="6"/>
  <c r="K26" i="6"/>
  <c r="L26" i="6"/>
  <c r="N22" i="6"/>
  <c r="N24" i="6" s="1"/>
  <c r="N25" i="6" s="1"/>
  <c r="N26" i="6" s="1"/>
  <c r="D55" i="6"/>
  <c r="D59" i="6" s="1"/>
  <c r="W21" i="6"/>
  <c r="J21" i="6"/>
  <c r="K52" i="6" s="1"/>
  <c r="C39" i="6"/>
  <c r="K38" i="6"/>
  <c r="I37" i="6" s="1"/>
  <c r="E52" i="6"/>
  <c r="L14" i="6"/>
  <c r="V7" i="6"/>
  <c r="C45" i="6"/>
  <c r="S8" i="6"/>
  <c r="R59" i="6"/>
  <c r="U59" i="6" s="1"/>
  <c r="E53" i="6"/>
  <c r="M14" i="6"/>
  <c r="F51" i="6" l="1"/>
  <c r="F53" i="6"/>
  <c r="M59" i="6"/>
  <c r="P59" i="6" s="1"/>
  <c r="L59" i="6"/>
  <c r="O59" i="6" s="1"/>
  <c r="K27" i="6"/>
  <c r="K32" i="6" s="1"/>
  <c r="C46" i="6"/>
  <c r="J59" i="6" s="1"/>
  <c r="G43" i="6"/>
  <c r="J29" i="6"/>
  <c r="J31" i="6"/>
  <c r="U3" i="6" s="1"/>
  <c r="G51" i="6"/>
  <c r="J34" i="6"/>
  <c r="J30" i="6"/>
  <c r="V3" i="6" s="1"/>
  <c r="W23" i="6"/>
  <c r="W24" i="6" s="1"/>
  <c r="W25" i="6" s="1"/>
  <c r="F55" i="6"/>
  <c r="F59" i="6" s="1"/>
  <c r="N52" i="6"/>
  <c r="C55" i="6"/>
  <c r="C59" i="6" s="1"/>
  <c r="L27" i="6"/>
  <c r="L32" i="6" s="1"/>
  <c r="F52" i="6"/>
  <c r="V8" i="6"/>
  <c r="V9" i="6" s="1"/>
  <c r="Q28" i="6"/>
  <c r="N31" i="6" s="1"/>
  <c r="N32" i="6" s="1"/>
  <c r="J23" i="6"/>
  <c r="K54" i="6" s="1"/>
  <c r="W22" i="6"/>
  <c r="F23" i="6"/>
  <c r="L23" i="6" s="1"/>
  <c r="M54" i="6" s="1"/>
  <c r="E55" i="6"/>
  <c r="E59" i="6" s="1"/>
  <c r="S9" i="6"/>
  <c r="T8" i="6" s="1"/>
  <c r="J32" i="6"/>
  <c r="T3" i="6" s="1"/>
  <c r="K23" i="6" l="1"/>
  <c r="L54" i="6" s="1"/>
  <c r="N54" i="6" s="1"/>
  <c r="S3" i="6"/>
  <c r="H53" i="6"/>
  <c r="H55" i="6" s="1"/>
  <c r="H59" i="6" s="1"/>
  <c r="N33" i="6"/>
  <c r="G53" i="6"/>
  <c r="K29" i="6"/>
  <c r="K31" i="6"/>
  <c r="L34" i="6"/>
  <c r="K30" i="6"/>
  <c r="T6" i="6"/>
  <c r="T7" i="6"/>
  <c r="L29" i="6"/>
  <c r="G52" i="6"/>
  <c r="L31" i="6"/>
  <c r="L30" i="6"/>
  <c r="K34" i="6"/>
  <c r="G55" i="6" l="1"/>
  <c r="G59" i="6" s="1"/>
</calcChain>
</file>

<file path=xl/sharedStrings.xml><?xml version="1.0" encoding="utf-8"?>
<sst xmlns="http://schemas.openxmlformats.org/spreadsheetml/2006/main" count="389" uniqueCount="327">
  <si>
    <t>días</t>
  </si>
  <si>
    <t>Resto de t sin éxito</t>
  </si>
  <si>
    <t>tSLEv sin la intervención</t>
  </si>
  <si>
    <t>PtSLEv por la intervención</t>
  </si>
  <si>
    <t>NNT</t>
  </si>
  <si>
    <t>Placebo</t>
  </si>
  <si>
    <t>IC</t>
  </si>
  <si>
    <t>Enferman</t>
  </si>
  <si>
    <t>No enferman</t>
  </si>
  <si>
    <t>Con eventos</t>
  </si>
  <si>
    <t>Sin eventos</t>
  </si>
  <si>
    <t>Total</t>
  </si>
  <si>
    <t>EE del ln RR = Raíz (varianza del ln RR) = Raíz [b/ a(a+b)]+[d / c(c+d)]. También es igual a Raíz (1/a + 1/c - 1/a+b -1/c+d)</t>
  </si>
  <si>
    <t>ln RR</t>
  </si>
  <si>
    <t>EE del ln RR = Raíz (varianza del ln RR) = Raíz [b / a(a+b)]+[d/ c(c+d)]</t>
  </si>
  <si>
    <t>ln del LI IC</t>
  </si>
  <si>
    <t>ln del LS IC</t>
  </si>
  <si>
    <t>RR</t>
  </si>
  <si>
    <t>LI del IC</t>
  </si>
  <si>
    <t>LS del IC</t>
  </si>
  <si>
    <t>RRR</t>
  </si>
  <si>
    <t>Límite inferior del IC</t>
  </si>
  <si>
    <t>Límite superior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</si>
  <si>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</si>
  <si>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</si>
  <si>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t>Aunque es mejor calcularlo por ji^2 de Pearson, puede utilizarse una aproximación al cálculo de la "p de la diferencia"</t>
  </si>
  <si>
    <r>
      <t>p</t>
    </r>
    <r>
      <rPr>
        <sz val="10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</si>
  <si>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</si>
  <si>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</si>
  <si>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</si>
  <si>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</si>
  <si>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</si>
  <si>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eventos</t>
  </si>
  <si>
    <t>n (de muestra)</t>
  </si>
  <si>
    <t>p (proporción) = eventos / n</t>
  </si>
  <si>
    <t>Z α/2 (0,05)</t>
  </si>
  <si>
    <t>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</si>
  <si>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</si>
  <si>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</si>
  <si>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</si>
  <si>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</si>
  <si>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</si>
  <si>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Operar</t>
  </si>
  <si>
    <t>n = nº de los que hay en cada grupo (ojo, no de la suma de ambos)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</si>
  <si>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</si>
  <si>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</si>
  <si>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t>d = diferencia de proporciones de ambos grupos o RAR</t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</si>
  <si>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</si>
  <si>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</si>
  <si>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</si>
  <si>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</si>
  <si>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</si>
  <si>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</si>
  <si>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t>1 -β = potencia estadística resultante =&gt; probab de detectar una diferencia entre ambos, en caso de que exista</t>
  </si>
  <si>
    <t>1-α = nivel e confianza =  p (no rechazar Ho │ Ho verdadera)</t>
  </si>
  <si>
    <t>RAR =</t>
  </si>
  <si>
    <t xml:space="preserve"> β =&gt; probabilidad de no detectar una diferencia que sí exista.</t>
  </si>
  <si>
    <t>NNT =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</si>
  <si>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</si>
  <si>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</si>
  <si>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</si>
  <si>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</si>
  <si>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</si>
  <si>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</si>
  <si>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</si>
  <si>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</si>
  <si>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</si>
  <si>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Chi cuadrado de Pearson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</si>
  <si>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</si>
  <si>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</si>
  <si>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</si>
  <si>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</si>
  <si>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</si>
  <si>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</si>
  <si>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</si>
  <si>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</si>
  <si>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</si>
  <si>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</si>
  <si>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</si>
  <si>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</si>
  <si>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</si>
  <si>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</si>
  <si>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</si>
  <si>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</si>
  <si>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</si>
  <si>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 por incidencias acumuladas</t>
  </si>
  <si>
    <t>Estimación puntual e IC de cada proporción</t>
  </si>
  <si>
    <t>(</t>
  </si>
  <si>
    <t>-</t>
  </si>
  <si>
    <t>)</t>
  </si>
  <si>
    <t>%</t>
  </si>
  <si>
    <t>Nº event Interv (%)</t>
  </si>
  <si>
    <t>Nº event Control (%)</t>
  </si>
  <si>
    <t>RAR</t>
  </si>
  <si>
    <t>potencia</t>
  </si>
  <si>
    <t>a</t>
  </si>
  <si>
    <t>/</t>
  </si>
  <si>
    <t>Potencia</t>
  </si>
  <si>
    <t>% Intervención (Fact Box)</t>
  </si>
  <si>
    <t>% Control (Fact Box)</t>
  </si>
  <si>
    <t>t medio con Ev, con ABC por polígonos</t>
  </si>
  <si>
    <t>t x ABC, Intev</t>
  </si>
  <si>
    <t>t x ABC, Contr</t>
  </si>
  <si>
    <t>tiempo</t>
  </si>
  <si>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</si>
  <si>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NNT, potencia estadística y valor de p</t>
  </si>
  <si>
    <t>Permanecenn sin Ev gracias a Mto Intervención</t>
  </si>
  <si>
    <t>Permanen sin Ev sin tomar Mto Intervención</t>
  </si>
  <si>
    <t>Tendrán el Ev, incluso tomando Mto Intervención</t>
  </si>
  <si>
    <t>RR (IC 95%)</t>
  </si>
  <si>
    <t>tiempo medio de Supervivencia Libre de Evento (tSLEv) sin la intervención</t>
  </si>
  <si>
    <t>Prolongación del tiempo medio de Supervivencia Libre de Evento (PtSLEv) por la intervención</t>
  </si>
  <si>
    <t>Total de t de seguimiento</t>
  </si>
  <si>
    <t>Total del tiempo medio de seguimiento</t>
  </si>
  <si>
    <t>% Interv (Fact Box)</t>
  </si>
  <si>
    <r>
      <t>Abreviaturas</t>
    </r>
    <r>
      <rPr>
        <sz val="8"/>
        <rFont val="Calibri"/>
        <family val="2"/>
      </rPr>
      <t xml:space="preserve">: </t>
    </r>
    <r>
      <rPr>
        <b/>
        <sz val="8"/>
        <rFont val="Calibri"/>
        <family val="2"/>
      </rPr>
      <t xml:space="preserve">IC: </t>
    </r>
    <r>
      <rPr>
        <sz val="8"/>
        <rFont val="Calibri"/>
        <family val="2"/>
      </rPr>
      <t xml:space="preserve">intervalo de confianza; </t>
    </r>
    <r>
      <rPr>
        <b/>
        <sz val="8"/>
        <rFont val="Calibri"/>
        <family val="2"/>
      </rPr>
      <t>RA</t>
    </r>
    <r>
      <rPr>
        <sz val="8"/>
        <rFont val="Calibri"/>
        <family val="2"/>
      </rPr>
      <t>: Riesgo Absoluto;</t>
    </r>
    <r>
      <rPr>
        <b/>
        <sz val="8"/>
        <rFont val="Calibri"/>
        <family val="2"/>
      </rPr>
      <t xml:space="preserve"> RR</t>
    </r>
    <r>
      <rPr>
        <sz val="8"/>
        <rFont val="Calibri"/>
        <family val="2"/>
      </rPr>
      <t xml:space="preserve">: Riesgo Relativo; </t>
    </r>
    <r>
      <rPr>
        <b/>
        <sz val="8"/>
        <rFont val="Calibri"/>
        <family val="2"/>
      </rPr>
      <t>RAR</t>
    </r>
    <r>
      <rPr>
        <sz val="8"/>
        <rFont val="Calibri"/>
        <family val="2"/>
      </rPr>
      <t xml:space="preserve">: Reducción Absoluta del Riesgo; </t>
    </r>
    <r>
      <rPr>
        <b/>
        <sz val="8"/>
        <rFont val="Calibri"/>
        <family val="2"/>
      </rPr>
      <t>NNT</t>
    </r>
    <r>
      <rPr>
        <sz val="8"/>
        <rFont val="Calibri"/>
        <family val="2"/>
      </rPr>
      <t xml:space="preserve">: Número Necesario a Tratar para evitar un evento; </t>
    </r>
    <r>
      <rPr>
        <b/>
        <sz val="8"/>
        <rFont val="Calibri"/>
        <family val="2"/>
      </rPr>
      <t xml:space="preserve">tSLEv: </t>
    </r>
    <r>
      <rPr>
        <sz val="8"/>
        <rFont val="Calibri"/>
        <family val="2"/>
      </rPr>
      <t xml:space="preserve">tiempo medio de Supervivencia Libre de Evento; </t>
    </r>
    <r>
      <rPr>
        <b/>
        <sz val="8"/>
        <rFont val="Calibri"/>
        <family val="2"/>
      </rPr>
      <t>PtSLEv:</t>
    </r>
    <r>
      <rPr>
        <sz val="8"/>
        <rFont val="Calibri"/>
        <family val="2"/>
      </rPr>
      <t xml:space="preserve"> Prolongación del tiempo medio de Supervivencia Libre de Evento.</t>
    </r>
  </si>
  <si>
    <t>Hoja información al usuario (FACT BOX)</t>
  </si>
  <si>
    <t>Nº Eventos crudos (%)</t>
  </si>
  <si>
    <r>
      <t>Valor de</t>
    </r>
    <r>
      <rPr>
        <b/>
        <i/>
        <sz val="10"/>
        <rFont val="Calibri"/>
        <family val="2"/>
      </rPr>
      <t xml:space="preserve"> p</t>
    </r>
  </si>
  <si>
    <t>meses</t>
  </si>
  <si>
    <t>Medidas del efecto obtenidas por incidencias acumuladas</t>
  </si>
  <si>
    <t>RAR (IC 95%)</t>
  </si>
  <si>
    <t>por año</t>
  </si>
  <si>
    <t>nº años</t>
  </si>
  <si>
    <t>nº meses</t>
  </si>
  <si>
    <t>Los 3 tiempos biográficos (3tB)</t>
  </si>
  <si>
    <t>Los 3 destinos del NNT (3dNNT)</t>
  </si>
  <si>
    <t>Variables experienciales</t>
  </si>
  <si>
    <t>Variables NO experienciales</t>
  </si>
  <si>
    <t>Mortalidad por causa cardiovascular</t>
  </si>
  <si>
    <t>EFECTOS ADVERSOS (EA) sin especificar los atribuidos a los tratamientos estudiados</t>
  </si>
  <si>
    <t>0,86 (0,69-1,08)</t>
  </si>
  <si>
    <r>
      <rPr>
        <b/>
        <sz val="12"/>
        <color rgb="FF993300"/>
        <rFont val="Calibri"/>
        <family val="2"/>
        <scheme val="minor"/>
      </rPr>
      <t>Tabla nnt-2:</t>
    </r>
    <r>
      <rPr>
        <b/>
        <sz val="12"/>
        <rFont val="Calibri"/>
        <family val="2"/>
        <scheme val="minor"/>
      </rPr>
      <t xml:space="preserve"> EFECTOS ADVERSOS ACUMULADOS MÁS RELEVANTES INFORMADOS POR LOS INVESTIGADORES</t>
    </r>
  </si>
  <si>
    <t>Mortalidad por todas las causas</t>
  </si>
  <si>
    <t>Resto de tiempo medio sin éxito durante todo el tiempo de seguimiento</t>
  </si>
  <si>
    <t>Das Pradhan A, Glynn RJ, Fruchart JC, on behalf of the PROMINENT Investigators. Triglyceride Lowering with Pemafibrate to Reduce Cardiovascular Risk.. N Engl J Med. 2022 Nov 24;387(21):1923-1934.</t>
  </si>
  <si>
    <t>414/5240 (7,9%)</t>
  </si>
  <si>
    <t>399/5257 (7,59%)</t>
  </si>
  <si>
    <t>1,04 (0,91-1,19)</t>
  </si>
  <si>
    <t>-0,31% (-1,33% a 0,71%)</t>
  </si>
  <si>
    <t>-322 (140 a -75)</t>
  </si>
  <si>
    <t>133/5240 (2,54%)</t>
  </si>
  <si>
    <t>133/5257 (2,53%)</t>
  </si>
  <si>
    <t>1 (0,79-1,27)</t>
  </si>
  <si>
    <t>-0,01% (-0,61% a 0,6%)</t>
  </si>
  <si>
    <t>-12183 (168 a -163)</t>
  </si>
  <si>
    <r>
      <t>Tto estándar + Pemafibrato, n</t>
    </r>
    <r>
      <rPr>
        <b/>
        <vertAlign val="subscript"/>
        <sz val="11"/>
        <rFont val="Calibri"/>
        <family val="2"/>
      </rPr>
      <t xml:space="preserve">i </t>
    </r>
    <r>
      <rPr>
        <b/>
        <sz val="11"/>
        <rFont val="Calibri"/>
        <family val="2"/>
      </rPr>
      <t>= 5240</t>
    </r>
  </si>
  <si>
    <r>
      <t>Tto estándar + Placebo, n</t>
    </r>
    <r>
      <rPr>
        <b/>
        <vertAlign val="subscript"/>
        <sz val="11"/>
        <rFont val="Calibri"/>
        <family val="2"/>
      </rPr>
      <t>c</t>
    </r>
    <r>
      <rPr>
        <b/>
        <sz val="11"/>
        <rFont val="Calibri"/>
        <family val="2"/>
      </rPr>
      <t xml:space="preserve"> = 5257</t>
    </r>
  </si>
  <si>
    <r>
      <t xml:space="preserve">ECA PROMINENT, media de seguimiento 39 meses </t>
    </r>
    <r>
      <rPr>
        <b/>
        <sz val="11"/>
        <color theme="0" tint="-0.249977111117893"/>
        <rFont val="Calibri"/>
        <family val="2"/>
        <scheme val="minor"/>
      </rPr>
      <t>(38,9 en Mort y 39 en Mort CV)</t>
    </r>
  </si>
  <si>
    <t>Infarto de miocardio no fatal</t>
  </si>
  <si>
    <t>Ictus isquémico no fatal</t>
  </si>
  <si>
    <t>Revascularización coronaria</t>
  </si>
  <si>
    <t>205/5240 (3,91%)</t>
  </si>
  <si>
    <t>178/5257 (3,39%)</t>
  </si>
  <si>
    <t>1,16 (0,95-1,41)</t>
  </si>
  <si>
    <t>-0,53% (-1,25% a 0,2%)</t>
  </si>
  <si>
    <t>-190 (511 a -80)</t>
  </si>
  <si>
    <t>95/5240 (1,81%)</t>
  </si>
  <si>
    <t>104/5257 (1,98%)</t>
  </si>
  <si>
    <t>0,92 (0,7-1,21)</t>
  </si>
  <si>
    <t>0,17% (-0,36% a 0,69%)</t>
  </si>
  <si>
    <t>605 (145 a -276)</t>
  </si>
  <si>
    <t>334/5240 (6,37%)</t>
  </si>
  <si>
    <t>344/5257 (6,54%)</t>
  </si>
  <si>
    <t>0,97 (0,84-1,13)</t>
  </si>
  <si>
    <t>0,17% (-0,77% a 1,11%)</t>
  </si>
  <si>
    <t>590 (90 a -129)</t>
  </si>
  <si>
    <t>Nueva aparición o empeoramiento de enfermedad arterial periférica</t>
  </si>
  <si>
    <t>136/5240 (2,6%)</t>
  </si>
  <si>
    <t>158/5257 (3,01%)</t>
  </si>
  <si>
    <t>0,41% (-0,23% a 1,04%)</t>
  </si>
  <si>
    <t>244 (96 a -443)</t>
  </si>
  <si>
    <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>[Mort CV, Infarto de miocardio, Ictus o Revascularización coronaria]</t>
    </r>
    <r>
      <rPr>
        <sz val="10"/>
        <rFont val="Calibri"/>
        <family val="2"/>
        <scheme val="minor"/>
      </rPr>
      <t xml:space="preserve"> </t>
    </r>
    <r>
      <rPr>
        <sz val="10"/>
        <color theme="0" tint="-0.249977111117893"/>
        <rFont val="Calibri"/>
        <family val="2"/>
        <scheme val="minor"/>
      </rPr>
      <t>MortCvamictus-recor</t>
    </r>
  </si>
  <si>
    <r>
      <t>1</t>
    </r>
    <r>
      <rPr>
        <vertAlign val="superscript"/>
        <sz val="10"/>
        <rFont val="Calibri"/>
        <family val="2"/>
        <scheme val="minor"/>
      </rPr>
      <t>er</t>
    </r>
    <r>
      <rPr>
        <sz val="10"/>
        <rFont val="Calibri"/>
        <family val="2"/>
        <scheme val="minor"/>
      </rPr>
      <t xml:space="preserve"> evento de </t>
    </r>
    <r>
      <rPr>
        <b/>
        <sz val="10"/>
        <rFont val="Calibri"/>
        <family val="2"/>
        <scheme val="minor"/>
      </rPr>
      <t>[Mort CV, Infarto de miocardio o Ictus]</t>
    </r>
    <r>
      <rPr>
        <sz val="10"/>
        <rFont val="Calibri"/>
        <family val="2"/>
        <scheme val="minor"/>
      </rPr>
      <t xml:space="preserve"> </t>
    </r>
    <r>
      <rPr>
        <sz val="10"/>
        <color theme="0" tint="-0.249977111117893"/>
        <rFont val="Calibri"/>
        <family val="2"/>
        <scheme val="minor"/>
      </rPr>
      <t>MortCvamictus</t>
    </r>
  </si>
  <si>
    <t>572/5240 (10,92%)</t>
  </si>
  <si>
    <t>560/5257 (10,65%)</t>
  </si>
  <si>
    <t>1,02 (0,92-1,14)</t>
  </si>
  <si>
    <t>-0,26% (-1,45% a 0,92%)</t>
  </si>
  <si>
    <t>-379 (108 a -69)</t>
  </si>
  <si>
    <t>6,37%</t>
  </si>
  <si>
    <t>381/5240 (7,27%)</t>
  </si>
  <si>
    <t>376/5257 (7,15%)</t>
  </si>
  <si>
    <t>1,02 (0,89-1,17)</t>
  </si>
  <si>
    <t>-0,12% (-1,11% a 0,87%)</t>
  </si>
  <si>
    <t>-843 (115 a -90)</t>
  </si>
  <si>
    <t>4,23%</t>
  </si>
  <si>
    <r>
      <t>Nº de pacientes con evento en</t>
    </r>
    <r>
      <rPr>
        <b/>
        <sz val="10"/>
        <rFont val="Calibri"/>
        <family val="2"/>
      </rPr>
      <t xml:space="preserve"> 39 meses </t>
    </r>
    <r>
      <rPr>
        <sz val="10"/>
        <rFont val="Calibri"/>
        <family val="2"/>
      </rPr>
      <t>por cada 100 tratados con</t>
    </r>
    <r>
      <rPr>
        <b/>
        <sz val="10"/>
        <rFont val="Calibri"/>
        <family val="2"/>
      </rPr>
      <t>:</t>
    </r>
  </si>
  <si>
    <t>Pemafibrato</t>
  </si>
  <si>
    <t>NNT (IC 95%) en 39 meses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</si>
  <si>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CV:</t>
    </r>
    <r>
      <rPr>
        <sz val="10"/>
        <rFont val="Calibri"/>
        <family val="2"/>
      </rPr>
      <t xml:space="preserve"> cardiovascular; </t>
    </r>
    <r>
      <rPr>
        <b/>
        <sz val="10"/>
        <rFont val="Calibri"/>
        <family val="2"/>
      </rPr>
      <t xml:space="preserve">IC: </t>
    </r>
    <r>
      <rPr>
        <sz val="10"/>
        <rFont val="Calibri"/>
        <family val="2"/>
      </rPr>
      <t xml:space="preserve">intervalo de confianza; </t>
    </r>
    <r>
      <rPr>
        <b/>
        <sz val="10"/>
        <rFont val="Calibri"/>
        <family val="2"/>
      </rPr>
      <t xml:space="preserve">Mort: </t>
    </r>
    <r>
      <rPr>
        <sz val="10"/>
        <rFont val="Calibri"/>
        <family val="2"/>
      </rPr>
      <t xml:space="preserve">mortalidad por cualquier causa; </t>
    </r>
    <r>
      <rPr>
        <b/>
        <sz val="10"/>
        <rFont val="Calibri"/>
        <family val="2"/>
      </rPr>
      <t>Mort CV:</t>
    </r>
    <r>
      <rPr>
        <sz val="10"/>
        <rFont val="Calibri"/>
        <family val="2"/>
      </rPr>
      <t xml:space="preserve"> Mortalidad por todas las causas; </t>
    </r>
    <r>
      <rPr>
        <b/>
        <sz val="10"/>
        <rFont val="Calibri"/>
        <family val="2"/>
      </rPr>
      <t xml:space="preserve">NNT: </t>
    </r>
    <r>
      <rPr>
        <sz val="10"/>
        <rFont val="Calibri"/>
        <family val="2"/>
      </rPr>
      <t xml:space="preserve">número necesario a tratar para proteger a 1 paciente más que sin tratar; </t>
    </r>
    <r>
      <rPr>
        <b/>
        <sz val="10"/>
        <rFont val="Calibri"/>
        <family val="2"/>
      </rPr>
      <t xml:space="preserve">RAR: </t>
    </r>
    <r>
      <rPr>
        <sz val="10"/>
        <rFont val="Calibri"/>
        <family val="2"/>
      </rPr>
      <t xml:space="preserve">reducción absoluta del riesgo; </t>
    </r>
    <r>
      <rPr>
        <b/>
        <sz val="10"/>
        <rFont val="Calibri"/>
        <family val="2"/>
      </rPr>
      <t xml:space="preserve">RR: </t>
    </r>
    <r>
      <rPr>
        <sz val="10"/>
        <rFont val="Calibri"/>
        <family val="2"/>
      </rPr>
      <t xml:space="preserve">riesgo relativo (obtenido por incidencias acumuladas); </t>
    </r>
    <r>
      <rPr>
        <b/>
        <sz val="10"/>
        <rFont val="Calibri"/>
        <family val="2"/>
      </rPr>
      <t>Tto estándar:</t>
    </r>
    <r>
      <rPr>
        <sz val="10"/>
        <rFont val="Calibri"/>
        <family val="2"/>
      </rPr>
      <t xml:space="preserve"> tratamiento estándar.</t>
    </r>
  </si>
  <si>
    <r>
      <t xml:space="preserve">Cualquier EA serious (grave) </t>
    </r>
    <r>
      <rPr>
        <sz val="11"/>
        <color rgb="FF0000FF"/>
        <rFont val="Calibri"/>
        <family val="2"/>
        <scheme val="minor"/>
      </rPr>
      <t>(*)</t>
    </r>
  </si>
  <si>
    <t>Cualquier EA musculoesquelético</t>
  </si>
  <si>
    <t>Miopatía</t>
  </si>
  <si>
    <t>Rabdomiolisis</t>
  </si>
  <si>
    <t>Cualquier EA renal</t>
  </si>
  <si>
    <t>Enfermedad renal crónica</t>
  </si>
  <si>
    <t>Fallo renal agudo</t>
  </si>
  <si>
    <t>Proteinuria</t>
  </si>
  <si>
    <t>Nefropatía diabética</t>
  </si>
  <si>
    <r>
      <rPr>
        <b/>
        <sz val="11"/>
        <color rgb="FF0000FF"/>
        <rFont val="Calibri"/>
        <family val="2"/>
        <scheme val="minor"/>
      </rPr>
      <t xml:space="preserve">(*) </t>
    </r>
    <r>
      <rPr>
        <sz val="11"/>
        <rFont val="Calibri"/>
        <family val="2"/>
        <scheme val="minor"/>
      </rPr>
      <t>La FDA define un evento adverso grave (serious adverse event, SAE) cuando el resultado del paciente es uno de los siguientes: 1) Mortalidad; 2) Amenaza de la vida; 3) Hospitalización (inicial o prolongada); 4) Discapacidad o cambios significativos, persistentes o permanentes, deterioro, daño o interrupción en la función o en la estructura del cuerpo del paciente, actividades físicas o calidad de vida; 5) Anomalía congénita; o 6) Requiere intervención para prevenir un empeoramiento o daño permanentes.</t>
    </r>
  </si>
  <si>
    <t>Cualquier EA hepático</t>
  </si>
  <si>
    <t>AST &gt; 3 LSN</t>
  </si>
  <si>
    <r>
      <rPr>
        <u/>
        <sz val="11"/>
        <rFont val="Calibri"/>
        <family val="2"/>
      </rPr>
      <t>Abreviaturas</t>
    </r>
    <r>
      <rPr>
        <sz val="11"/>
        <rFont val="Calibri"/>
        <family val="2"/>
      </rPr>
      <t xml:space="preserve">:  </t>
    </r>
    <r>
      <rPr>
        <b/>
        <sz val="11"/>
        <rFont val="Calibri"/>
        <family val="2"/>
      </rPr>
      <t xml:space="preserve">CV: </t>
    </r>
    <r>
      <rPr>
        <sz val="11"/>
        <rFont val="Calibri"/>
        <family val="2"/>
      </rPr>
      <t xml:space="preserve">cardiovascular; </t>
    </r>
    <r>
      <rPr>
        <b/>
        <sz val="11"/>
        <rFont val="Calibri"/>
        <family val="2"/>
      </rPr>
      <t>EA:</t>
    </r>
    <r>
      <rPr>
        <sz val="11"/>
        <rFont val="Calibri"/>
        <family val="2"/>
      </rPr>
      <t xml:space="preserve"> efecto/s adverso/s; </t>
    </r>
    <r>
      <rPr>
        <b/>
        <sz val="11"/>
        <rFont val="Calibri"/>
        <family val="2"/>
      </rPr>
      <t>IC 95%:</t>
    </r>
    <r>
      <rPr>
        <sz val="11"/>
        <rFont val="Calibri"/>
        <family val="2"/>
      </rPr>
      <t xml:space="preserve"> intervalo de confianza al 95%; </t>
    </r>
    <r>
      <rPr>
        <b/>
        <sz val="11"/>
        <rFont val="Calibri"/>
        <family val="2"/>
      </rPr>
      <t xml:space="preserve">LSN: </t>
    </r>
    <r>
      <rPr>
        <sz val="11"/>
        <rFont val="Calibri"/>
        <family val="2"/>
      </rPr>
      <t xml:space="preserve">límite superior a la normalidad; </t>
    </r>
    <r>
      <rPr>
        <b/>
        <sz val="11"/>
        <rFont val="Calibri"/>
        <family val="2"/>
      </rPr>
      <t xml:space="preserve">NNT: </t>
    </r>
    <r>
      <rPr>
        <sz val="11"/>
        <rFont val="Calibri"/>
        <family val="2"/>
      </rPr>
      <t xml:space="preserve">número necesario a tratar con la intervención para evitar 1 evento más que con el control; </t>
    </r>
    <r>
      <rPr>
        <b/>
        <sz val="11"/>
        <rFont val="Calibri"/>
        <family val="2"/>
      </rPr>
      <t xml:space="preserve">RAR: </t>
    </r>
    <r>
      <rPr>
        <sz val="11"/>
        <rFont val="Calibri"/>
        <family val="2"/>
      </rPr>
      <t xml:space="preserve">reducción absoluta del riesgo; </t>
    </r>
    <r>
      <rPr>
        <b/>
        <sz val="11"/>
        <rFont val="Calibri"/>
        <family val="2"/>
      </rPr>
      <t>RR:</t>
    </r>
    <r>
      <rPr>
        <sz val="11"/>
        <rFont val="Calibri"/>
        <family val="2"/>
      </rPr>
      <t xml:space="preserve"> riesgo relativo.</t>
    </r>
  </si>
  <si>
    <t>ALT &gt; 3 LSN</t>
  </si>
  <si>
    <t>Otros EA predefinidos en el protocolo</t>
  </si>
  <si>
    <t>1970/5240 (37,6%)</t>
  </si>
  <si>
    <t>1914/5257 (36,41%)</t>
  </si>
  <si>
    <t>1,03 (0,98-1,09)</t>
  </si>
  <si>
    <t>-1,19% (-3,03% a 0,66%)</t>
  </si>
  <si>
    <t>-84 (152 a -33)</t>
  </si>
  <si>
    <t>1605/5240 (30,63%)</t>
  </si>
  <si>
    <t>1693/5257 (32,2%)</t>
  </si>
  <si>
    <t>0,95 (0,9-1,01)</t>
  </si>
  <si>
    <t>1,57% (-0,2% a 3,35%)</t>
  </si>
  <si>
    <t>63 (30 a -501)</t>
  </si>
  <si>
    <t>22/5240 (0,42%)</t>
  </si>
  <si>
    <t>35/5257 (0,67%)</t>
  </si>
  <si>
    <t>0,63 (0,37-1,07)</t>
  </si>
  <si>
    <t>0,25% (-0,05% a 0,53%)</t>
  </si>
  <si>
    <t>407 (188 a -2025)</t>
  </si>
  <si>
    <t>4/5240 (0,08%)</t>
  </si>
  <si>
    <t>2/5257 (0,04%)</t>
  </si>
  <si>
    <t>2,01 (0,37-10,95)</t>
  </si>
  <si>
    <t>-0,04% (-0,15% a 0,08%)</t>
  </si>
  <si>
    <t>-2612 (1181 a -670)</t>
  </si>
  <si>
    <t>1463/5240 (27,92%)</t>
  </si>
  <si>
    <t>1347/5257 (25,62%)</t>
  </si>
  <si>
    <t>1,09 (1,02-1,16)</t>
  </si>
  <si>
    <t>-2,3% (-3,99% a -0,6%)</t>
  </si>
  <si>
    <t>-44 (-165 a -25)</t>
  </si>
  <si>
    <t>180/5240 (3,44%)</t>
  </si>
  <si>
    <t>117/5257 (2,23%)</t>
  </si>
  <si>
    <t>1,54 (1,23-1,94)</t>
  </si>
  <si>
    <t>-1,21% (-1,84% a -0,57%)</t>
  </si>
  <si>
    <t>-83 (-176 a -54)</t>
  </si>
  <si>
    <t>160/5240 (3,05%)</t>
  </si>
  <si>
    <t>106/5257 (2,02%)</t>
  </si>
  <si>
    <t>1,51 (1,19-1,93)</t>
  </si>
  <si>
    <t>-1,04% (-1,64% a -0,43%)</t>
  </si>
  <si>
    <t>-96 (-234 a -61)</t>
  </si>
  <si>
    <t>110/5240 (2,1%)</t>
  </si>
  <si>
    <t>101/5257 (1,92%)</t>
  </si>
  <si>
    <t>1,09 (0,84-1,43)</t>
  </si>
  <si>
    <t>-0,18% (-0,72% a 0,36%)</t>
  </si>
  <si>
    <t>-562 (274 a -139)</t>
  </si>
  <si>
    <t>848/5240 (16,18%)</t>
  </si>
  <si>
    <t>779/5257 (14,82%)</t>
  </si>
  <si>
    <t>1,09 (1-1,19)</t>
  </si>
  <si>
    <t>-1,36% (-2,75% a 0,02%)</t>
  </si>
  <si>
    <t>-73 (4990 a -36)</t>
  </si>
  <si>
    <t>219/5240 (4,18%)</t>
  </si>
  <si>
    <t>265/5257 (5,04%)</t>
  </si>
  <si>
    <t>0,83 (0,7-0,99)</t>
  </si>
  <si>
    <t>0,86% (0,06% a 1,66%)</t>
  </si>
  <si>
    <t>116 (60 a 1804)</t>
  </si>
  <si>
    <t>25/5240 (0,48%)</t>
  </si>
  <si>
    <t>39/5257 (0,74%)</t>
  </si>
  <si>
    <t>0,64 (0,39-1,06)</t>
  </si>
  <si>
    <t>0,26% (-0,05% a 0,57%)</t>
  </si>
  <si>
    <t>378 (177 a -2152)</t>
  </si>
  <si>
    <t>27/5240 (0,52%)</t>
  </si>
  <si>
    <t>42/5257 (0,8%)</t>
  </si>
  <si>
    <t>0,64 (0,4-1,04)</t>
  </si>
  <si>
    <t>0,28% (-0,04% a 0,6%)</t>
  </si>
  <si>
    <t>353 (168 a -2595)</t>
  </si>
  <si>
    <t>155/5240 (2,96%)</t>
  </si>
  <si>
    <t>200/5257 (3,8%)</t>
  </si>
  <si>
    <t>0,78 (0,63-0,96)</t>
  </si>
  <si>
    <t>0,85% (0,15% a 1,54%)</t>
  </si>
  <si>
    <t>118 (65 a 668)</t>
  </si>
  <si>
    <t>Colelitiasis</t>
  </si>
  <si>
    <t>Pancreatitis aguda</t>
  </si>
  <si>
    <t>Fibrilación auricular</t>
  </si>
  <si>
    <t>Tromboembolismo venoso</t>
  </si>
  <si>
    <t>Trombosis pulmonar</t>
  </si>
  <si>
    <t>Neuropatía diabética</t>
  </si>
  <si>
    <t>Retinopatía diabética</t>
  </si>
  <si>
    <t>125/5240 (2,39%)</t>
  </si>
  <si>
    <t>119/5257 (2,26%)</t>
  </si>
  <si>
    <t>1,05 (0,82-1,35)</t>
  </si>
  <si>
    <t>-0,12% (-0,7% a 0,46%)</t>
  </si>
  <si>
    <t>-821 (218 a -143)</t>
  </si>
  <si>
    <t>220/5240 (4,2%)</t>
  </si>
  <si>
    <t>209/5257 (3,98%)</t>
  </si>
  <si>
    <t>1,06 (0,88-1,27)</t>
  </si>
  <si>
    <t>-0,22% (-0,98% a 0,54%)</t>
  </si>
  <si>
    <t>-449 (186 a -102)</t>
  </si>
  <si>
    <t>71/5240 (1,35%)</t>
  </si>
  <si>
    <t>2,04 (1,36-3,05)</t>
  </si>
  <si>
    <t>-0,69% (-1,07% a -0,29%)</t>
  </si>
  <si>
    <t>-145 (-342 a -93)</t>
  </si>
  <si>
    <t>40/5240 (0,76%)</t>
  </si>
  <si>
    <t>19/5257 (0,36%)</t>
  </si>
  <si>
    <t>2,11 (1,22-3,64)</t>
  </si>
  <si>
    <t>-0,4% (-0,69% a -0,1%)</t>
  </si>
  <si>
    <t>-249 (-1017 a -145)</t>
  </si>
  <si>
    <t>45/5240 (0,86%)</t>
  </si>
  <si>
    <t>2,38 (1,39-4,06)</t>
  </si>
  <si>
    <t>-0,5% (-0,79% a -0,18%)</t>
  </si>
  <si>
    <t>-201 (-552 a -126)</t>
  </si>
  <si>
    <t>266/5240 (5,08%)</t>
  </si>
  <si>
    <t>287/5257 (5,46%)</t>
  </si>
  <si>
    <t>0,93 (0,79-1,09)</t>
  </si>
  <si>
    <t>0,38% (-0,47% a 1,24%)</t>
  </si>
  <si>
    <t>261 (81 a -211)</t>
  </si>
  <si>
    <t>140/5240 (2,67%)</t>
  </si>
  <si>
    <t>161/5257 (3,06%)</t>
  </si>
  <si>
    <t>0,87 (0,7-1,09)</t>
  </si>
  <si>
    <t>0,39% (-0,25% a 1,03%)</t>
  </si>
  <si>
    <t>256 (97 a -396)</t>
  </si>
  <si>
    <t>26/5240 (0,5%)</t>
  </si>
  <si>
    <t>28/5257 (0,53%)</t>
  </si>
  <si>
    <t>0,93 (0,55-1,59)</t>
  </si>
  <si>
    <t>0,04% (-0,25% a 0,32%)</t>
  </si>
  <si>
    <t>2744 (314 a -404)</t>
  </si>
  <si>
    <t>4,47%</t>
  </si>
  <si>
    <r>
      <rPr>
        <b/>
        <sz val="12"/>
        <color rgb="FF993300"/>
        <rFont val="Calibri"/>
        <family val="2"/>
        <scheme val="minor"/>
      </rPr>
      <t xml:space="preserve">Tabla 3tB-1: </t>
    </r>
    <r>
      <rPr>
        <b/>
        <sz val="12"/>
        <rFont val="Calibri"/>
        <family val="2"/>
        <scheme val="minor"/>
      </rPr>
      <t>Los 3 tiempos biograficos de cada variable, asumiendo que la incidencia asciende linealmente a lo largo del tiempo.</t>
    </r>
  </si>
  <si>
    <t>20221124-ECA PROM 39m, DM2 +TG 200-500 [Pemafibr vs Pl], =MACE. Pradhan</t>
  </si>
  <si>
    <r>
      <rPr>
        <b/>
        <sz val="13"/>
        <color indexed="60"/>
        <rFont val="Calibri"/>
        <family val="2"/>
      </rPr>
      <t xml:space="preserve">Tabla nnt-1: </t>
    </r>
    <r>
      <rPr>
        <b/>
        <sz val="13"/>
        <rFont val="Calibri"/>
        <family val="2"/>
      </rPr>
      <t>Pacientes de 64 años (IQR, 58-70) con DM2, Triglicéridos 200-500 mg/dl, y colesterol HDL ≤ 40 m/dl, un 67% de los cuales con Enfermedad CV aterosclerótica.</t>
    </r>
  </si>
  <si>
    <r>
      <t>Tto estándar + Pemafibrato, n</t>
    </r>
    <r>
      <rPr>
        <b/>
        <vertAlign val="subscript"/>
        <sz val="11"/>
        <rFont val="Calibri"/>
        <family val="2"/>
      </rPr>
      <t>i</t>
    </r>
    <r>
      <rPr>
        <b/>
        <sz val="11"/>
        <rFont val="Calibri"/>
        <family val="2"/>
      </rPr>
      <t xml:space="preserve"> = 5240</t>
    </r>
  </si>
  <si>
    <t>Hígado graso no alcohólico</t>
  </si>
  <si>
    <t>Trombosis venosa profunda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</si>
  <si>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</si>
  <si>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</si>
  <si>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</si>
  <si>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</si>
  <si>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Placeto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</si>
</sst>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_-* #,##0\ _€_-;\-* #,##0\ _€_-;_-* &quot;-&quot;??\ _€_-;_-@_-"/>
    <numFmt numFmtId="168" formatCode="_-* #,##0.000\ _€_-;\-* #,##0.000\ _€_-;_-* &quot;-&quot;??\ _€_-;_-@_-"/>
    <numFmt numFmtId="169" formatCode="#,##0.00_ ;\-#,##0.00\ 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0.000"/>
    <numFmt numFmtId="176" formatCode="_-* #,##0.000\ _€_-;\-* #,##0.000\ _€_-;_-* &quot;-&quot;???\ _€_-;_-@_-"/>
    <numFmt numFmtId="177" formatCode="0.0000"/>
    <numFmt numFmtId="181" formatCode="_-* #,##0.00\ _€_-;\-* #,##0.00\ _€_-;_-* &quot;-&quot;??\ _€_-;_-@_-"/>
  </numFmts>
  <fonts count="9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99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0"/>
      <color indexed="2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  <scheme val="minor"/>
    </font>
    <font>
      <b/>
      <i/>
      <sz val="9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sz val="9"/>
      <name val="Calibri"/>
      <family val="2"/>
      <scheme val="minor"/>
    </font>
    <font>
      <sz val="6"/>
      <color rgb="FF669900"/>
      <name val="Calibri"/>
      <family val="2"/>
      <scheme val="minor"/>
    </font>
    <font>
      <sz val="6"/>
      <color rgb="FF009900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name val="Calibri"/>
      <family val="2"/>
    </font>
    <font>
      <sz val="10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6699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6699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0"/>
      <color rgb="FF669900"/>
      <name val="Calibri"/>
      <family val="2"/>
      <scheme val="minor"/>
    </font>
    <font>
      <b/>
      <sz val="10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name val="Calibri"/>
      <family val="2"/>
    </font>
    <font>
      <b/>
      <sz val="12"/>
      <color rgb="FF6699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color theme="0" tint="-0.249977111117893"/>
      <name val="Calibri"/>
      <family val="2"/>
      <scheme val="minor"/>
    </font>
    <font>
      <sz val="10"/>
      <color rgb="FF99CC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rgb="FF9933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1"/>
      <name val="Calibri"/>
      <family val="2"/>
    </font>
    <font>
      <sz val="10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name val="Calibri"/>
      <family val="2"/>
    </font>
    <font>
      <b/>
      <sz val="12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sz val="10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3"/>
      <name val="Calibri"/>
      <family val="2"/>
    </font>
    <font>
      <b/>
      <sz val="13"/>
      <color indexed="60"/>
      <name val="Calibri"/>
      <family val="2"/>
    </font>
    <font>
      <i/>
      <sz val="11"/>
      <color rgb="FF008000"/>
      <name val="Calibri"/>
      <family val="2"/>
      <scheme val="minor"/>
    </font>
    <font>
      <b/>
      <vertAlign val="subscript"/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5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2" fontId="3" fillId="0" borderId="7" xfId="0" applyNumberFormat="1" applyFont="1" applyBorder="1"/>
    <xf numFmtId="0" fontId="2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66" fontId="7" fillId="0" borderId="0" xfId="2" applyNumberFormat="1" applyFont="1" applyAlignment="1">
      <alignment horizontal="center"/>
    </xf>
    <xf numFmtId="0" fontId="8" fillId="0" borderId="0" xfId="0" applyFont="1" applyAlignment="1">
      <alignment horizontal="right"/>
    </xf>
    <xf numFmtId="166" fontId="9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166" fontId="11" fillId="0" borderId="0" xfId="2" applyNumberFormat="1" applyFont="1" applyAlignment="1">
      <alignment horizontal="center"/>
    </xf>
    <xf numFmtId="3" fontId="3" fillId="0" borderId="7" xfId="0" applyNumberFormat="1" applyFont="1" applyBorder="1"/>
    <xf numFmtId="167" fontId="3" fillId="0" borderId="0" xfId="1" applyNumberFormat="1" applyFont="1" applyFill="1" applyBorder="1" applyAlignment="1"/>
    <xf numFmtId="167" fontId="15" fillId="0" borderId="0" xfId="1" applyNumberFormat="1" applyFont="1" applyFill="1" applyBorder="1" applyAlignment="1"/>
    <xf numFmtId="167" fontId="16" fillId="0" borderId="0" xfId="0" applyNumberFormat="1" applyFont="1" applyFill="1" applyBorder="1" applyAlignment="1">
      <alignment horizontal="left"/>
    </xf>
    <xf numFmtId="2" fontId="2" fillId="0" borderId="0" xfId="0" applyNumberFormat="1" applyFont="1" applyBorder="1"/>
    <xf numFmtId="10" fontId="17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4" fillId="0" borderId="0" xfId="0" applyFont="1" applyBorder="1" applyAlignment="1">
      <alignment vertical="distributed"/>
    </xf>
    <xf numFmtId="0" fontId="2" fillId="0" borderId="7" xfId="0" applyFont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/>
    </xf>
    <xf numFmtId="0" fontId="19" fillId="0" borderId="0" xfId="0" applyFont="1" applyFill="1" applyBorder="1" applyAlignment="1">
      <alignment vertical="distributed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vertical="center" wrapText="1"/>
    </xf>
    <xf numFmtId="18" fontId="2" fillId="0" borderId="0" xfId="1" applyNumberFormat="1" applyFont="1" applyBorder="1" applyAlignment="1">
      <alignment horizontal="center"/>
    </xf>
    <xf numFmtId="9" fontId="2" fillId="0" borderId="0" xfId="0" applyNumberFormat="1" applyFont="1" applyBorder="1"/>
    <xf numFmtId="43" fontId="2" fillId="0" borderId="0" xfId="0" applyNumberFormat="1" applyFont="1"/>
    <xf numFmtId="43" fontId="2" fillId="0" borderId="0" xfId="1" applyFont="1" applyFill="1"/>
    <xf numFmtId="0" fontId="23" fillId="0" borderId="0" xfId="0" applyFont="1" applyFill="1"/>
    <xf numFmtId="168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center" vertical="center" wrapText="1"/>
    </xf>
    <xf numFmtId="10" fontId="2" fillId="0" borderId="0" xfId="2" applyNumberFormat="1" applyFont="1" applyFill="1"/>
    <xf numFmtId="10" fontId="2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3" fontId="2" fillId="0" borderId="0" xfId="1" applyFont="1" applyFill="1" applyBorder="1"/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169" fontId="2" fillId="0" borderId="7" xfId="1" applyNumberFormat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2" fontId="2" fillId="0" borderId="11" xfId="1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24" fillId="0" borderId="0" xfId="1" applyFont="1" applyFill="1" applyBorder="1"/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3" fontId="24" fillId="0" borderId="0" xfId="1" applyFont="1" applyFill="1" applyAlignment="1">
      <alignment horizontal="right"/>
    </xf>
    <xf numFmtId="0" fontId="24" fillId="0" borderId="0" xfId="0" applyFont="1" applyFill="1" applyBorder="1"/>
    <xf numFmtId="43" fontId="2" fillId="0" borderId="0" xfId="0" applyNumberFormat="1" applyFont="1" applyFill="1"/>
    <xf numFmtId="170" fontId="2" fillId="0" borderId="0" xfId="0" applyNumberFormat="1" applyFont="1" applyFill="1" applyBorder="1" applyAlignment="1">
      <alignment horizontal="center" vertical="center" wrapText="1"/>
    </xf>
    <xf numFmtId="171" fontId="2" fillId="0" borderId="0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43" fontId="2" fillId="0" borderId="0" xfId="1" applyFont="1" applyBorder="1" applyAlignment="1">
      <alignment horizontal="center"/>
    </xf>
    <xf numFmtId="173" fontId="2" fillId="0" borderId="0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0" fontId="3" fillId="0" borderId="0" xfId="2" applyNumberFormat="1" applyFont="1" applyFill="1" applyBorder="1" applyAlignment="1"/>
    <xf numFmtId="173" fontId="2" fillId="0" borderId="0" xfId="1" applyNumberFormat="1" applyFont="1" applyFill="1" applyBorder="1" applyAlignment="1">
      <alignment horizontal="center"/>
    </xf>
    <xf numFmtId="43" fontId="3" fillId="0" borderId="0" xfId="1" applyFont="1" applyFill="1" applyBorder="1" applyAlignment="1"/>
    <xf numFmtId="0" fontId="2" fillId="0" borderId="0" xfId="0" applyFont="1" applyFill="1" applyBorder="1" applyAlignment="1">
      <alignment horizontal="left"/>
    </xf>
    <xf numFmtId="0" fontId="25" fillId="0" borderId="0" xfId="0" applyFont="1"/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3" fontId="28" fillId="0" borderId="2" xfId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73" fontId="2" fillId="0" borderId="2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0" fontId="2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1" fontId="2" fillId="0" borderId="19" xfId="0" applyNumberFormat="1" applyFont="1" applyFill="1" applyBorder="1" applyAlignment="1">
      <alignment horizontal="center" vertical="center" wrapText="1"/>
    </xf>
    <xf numFmtId="43" fontId="3" fillId="0" borderId="18" xfId="1" applyFont="1" applyFill="1" applyBorder="1" applyAlignment="1"/>
    <xf numFmtId="10" fontId="2" fillId="0" borderId="19" xfId="2" applyNumberFormat="1" applyFont="1" applyFill="1" applyBorder="1"/>
    <xf numFmtId="0" fontId="2" fillId="0" borderId="18" xfId="0" applyFont="1" applyBorder="1"/>
    <xf numFmtId="2" fontId="2" fillId="0" borderId="19" xfId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174" fontId="2" fillId="0" borderId="19" xfId="0" applyNumberFormat="1" applyFont="1" applyBorder="1"/>
    <xf numFmtId="166" fontId="2" fillId="0" borderId="19" xfId="2" applyNumberFormat="1" applyFont="1" applyFill="1" applyBorder="1" applyAlignment="1">
      <alignment horizontal="center" vertical="center" wrapText="1"/>
    </xf>
    <xf numFmtId="168" fontId="3" fillId="0" borderId="19" xfId="1" applyNumberFormat="1" applyFont="1" applyFill="1" applyBorder="1"/>
    <xf numFmtId="0" fontId="3" fillId="0" borderId="0" xfId="0" applyFont="1" applyAlignment="1">
      <alignment horizontal="left"/>
    </xf>
    <xf numFmtId="165" fontId="2" fillId="0" borderId="0" xfId="0" applyNumberFormat="1" applyFont="1" applyFill="1" applyBorder="1"/>
    <xf numFmtId="175" fontId="2" fillId="0" borderId="19" xfId="0" applyNumberFormat="1" applyFont="1" applyFill="1" applyBorder="1" applyAlignment="1">
      <alignment horizontal="center" vertical="center" wrapText="1"/>
    </xf>
    <xf numFmtId="170" fontId="2" fillId="6" borderId="19" xfId="1" applyNumberFormat="1" applyFont="1" applyFill="1" applyBorder="1"/>
    <xf numFmtId="0" fontId="3" fillId="0" borderId="0" xfId="0" applyFont="1" applyBorder="1"/>
    <xf numFmtId="10" fontId="2" fillId="3" borderId="19" xfId="2" applyNumberFormat="1" applyFont="1" applyFill="1" applyBorder="1" applyAlignment="1">
      <alignment horizontal="center" vertical="center" wrapText="1"/>
    </xf>
    <xf numFmtId="173" fontId="2" fillId="0" borderId="0" xfId="0" applyNumberFormat="1" applyFont="1" applyBorder="1"/>
    <xf numFmtId="10" fontId="32" fillId="0" borderId="19" xfId="0" applyNumberFormat="1" applyFont="1" applyBorder="1"/>
    <xf numFmtId="0" fontId="33" fillId="0" borderId="0" xfId="0" applyFont="1" applyBorder="1"/>
    <xf numFmtId="49" fontId="4" fillId="0" borderId="0" xfId="0" applyNumberFormat="1" applyFont="1"/>
    <xf numFmtId="10" fontId="2" fillId="0" borderId="4" xfId="2" applyNumberFormat="1" applyFont="1" applyBorder="1" applyAlignment="1">
      <alignment horizontal="center" vertical="center" wrapText="1"/>
    </xf>
    <xf numFmtId="0" fontId="33" fillId="0" borderId="5" xfId="0" applyFont="1" applyBorder="1"/>
    <xf numFmtId="0" fontId="2" fillId="0" borderId="5" xfId="0" applyFont="1" applyBorder="1"/>
    <xf numFmtId="176" fontId="2" fillId="0" borderId="5" xfId="0" applyNumberFormat="1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0" fontId="2" fillId="0" borderId="0" xfId="0" applyNumberFormat="1" applyFont="1"/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177" fontId="2" fillId="0" borderId="2" xfId="1" applyNumberFormat="1" applyFont="1" applyBorder="1" applyAlignment="1">
      <alignment horizontal="center" vertical="center"/>
    </xf>
    <xf numFmtId="2" fontId="2" fillId="0" borderId="2" xfId="0" applyNumberFormat="1" applyFont="1" applyBorder="1"/>
    <xf numFmtId="10" fontId="18" fillId="0" borderId="0" xfId="2" applyNumberFormat="1" applyFont="1" applyFill="1" applyBorder="1" applyAlignment="1">
      <alignment horizontal="right"/>
    </xf>
    <xf numFmtId="0" fontId="22" fillId="0" borderId="0" xfId="0" applyFont="1" applyFill="1" applyBorder="1"/>
    <xf numFmtId="43" fontId="2" fillId="0" borderId="0" xfId="1" applyFont="1" applyFill="1" applyBorder="1" applyAlignment="1"/>
    <xf numFmtId="10" fontId="18" fillId="0" borderId="0" xfId="2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67" fontId="18" fillId="0" borderId="0" xfId="1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/>
    <xf numFmtId="43" fontId="2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/>
    <xf numFmtId="43" fontId="2" fillId="0" borderId="5" xfId="1" applyFont="1" applyFill="1" applyBorder="1" applyAlignment="1">
      <alignment horizontal="center"/>
    </xf>
    <xf numFmtId="43" fontId="3" fillId="0" borderId="5" xfId="1" applyFont="1" applyFill="1" applyBorder="1" applyAlignment="1"/>
    <xf numFmtId="0" fontId="34" fillId="0" borderId="0" xfId="0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Border="1"/>
    <xf numFmtId="49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3" fontId="22" fillId="0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7" fillId="0" borderId="7" xfId="0" applyFont="1" applyBorder="1" applyAlignment="1">
      <alignment horizontal="left" vertical="center"/>
    </xf>
    <xf numFmtId="167" fontId="17" fillId="0" borderId="7" xfId="1" applyNumberFormat="1" applyFont="1" applyFill="1" applyBorder="1"/>
    <xf numFmtId="0" fontId="16" fillId="0" borderId="7" xfId="0" applyFont="1" applyFill="1" applyBorder="1" applyAlignment="1">
      <alignment horizontal="right" vertical="center"/>
    </xf>
    <xf numFmtId="43" fontId="2" fillId="0" borderId="7" xfId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/>
    <xf numFmtId="0" fontId="24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167" fontId="3" fillId="0" borderId="7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7" fontId="19" fillId="0" borderId="7" xfId="1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center"/>
    </xf>
    <xf numFmtId="167" fontId="17" fillId="0" borderId="0" xfId="1" applyNumberFormat="1" applyFont="1" applyFill="1" applyBorder="1"/>
    <xf numFmtId="167" fontId="19" fillId="0" borderId="0" xfId="1" applyNumberFormat="1" applyFont="1" applyFill="1" applyBorder="1"/>
    <xf numFmtId="167" fontId="25" fillId="0" borderId="0" xfId="0" applyNumberFormat="1" applyFont="1" applyFill="1" applyBorder="1"/>
    <xf numFmtId="0" fontId="39" fillId="0" borderId="17" xfId="0" applyFont="1" applyBorder="1" applyAlignment="1">
      <alignment horizontal="left" vertical="center"/>
    </xf>
    <xf numFmtId="167" fontId="2" fillId="0" borderId="0" xfId="1" applyNumberFormat="1" applyFont="1" applyAlignment="1">
      <alignment horizontal="center" vertical="center" wrapText="1"/>
    </xf>
    <xf numFmtId="43" fontId="39" fillId="0" borderId="7" xfId="1" applyFont="1" applyBorder="1"/>
    <xf numFmtId="0" fontId="19" fillId="0" borderId="0" xfId="0" applyFont="1" applyAlignment="1">
      <alignment horizontal="right"/>
    </xf>
    <xf numFmtId="43" fontId="3" fillId="0" borderId="0" xfId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43" fontId="2" fillId="3" borderId="0" xfId="0" applyNumberFormat="1" applyFont="1" applyFill="1" applyAlignment="1">
      <alignment horizontal="center" vertical="center" wrapText="1"/>
    </xf>
    <xf numFmtId="43" fontId="2" fillId="0" borderId="0" xfId="1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7" xfId="0" applyNumberFormat="1" applyFont="1" applyBorder="1"/>
    <xf numFmtId="43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168" fontId="3" fillId="3" borderId="7" xfId="1" applyNumberFormat="1" applyFont="1" applyFill="1" applyBorder="1"/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9" fontId="2" fillId="0" borderId="0" xfId="2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10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8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2" fillId="0" borderId="19" xfId="0" applyFont="1" applyFill="1" applyBorder="1"/>
    <xf numFmtId="49" fontId="2" fillId="0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8" fontId="2" fillId="0" borderId="0" xfId="0" applyNumberFormat="1" applyFont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8" fontId="2" fillId="0" borderId="0" xfId="0" applyNumberFormat="1" applyFont="1" applyBorder="1"/>
    <xf numFmtId="175" fontId="2" fillId="0" borderId="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177" fontId="2" fillId="0" borderId="0" xfId="1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/>
    </xf>
    <xf numFmtId="2" fontId="10" fillId="0" borderId="7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41" fillId="0" borderId="7" xfId="0" applyNumberFormat="1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1" fontId="43" fillId="0" borderId="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168" fontId="2" fillId="4" borderId="0" xfId="0" applyNumberFormat="1" applyFont="1" applyFill="1" applyBorder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9" fontId="2" fillId="4" borderId="0" xfId="2" applyNumberFormat="1" applyFont="1" applyFill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40" fillId="2" borderId="7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right" vertical="center" wrapText="1"/>
    </xf>
    <xf numFmtId="175" fontId="2" fillId="4" borderId="7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1" fontId="53" fillId="4" borderId="7" xfId="0" applyNumberFormat="1" applyFont="1" applyFill="1" applyBorder="1" applyAlignment="1">
      <alignment horizontal="center" vertical="center"/>
    </xf>
    <xf numFmtId="1" fontId="54" fillId="4" borderId="7" xfId="0" applyNumberFormat="1" applyFont="1" applyFill="1" applyBorder="1" applyAlignment="1">
      <alignment horizontal="center" vertical="center"/>
    </xf>
    <xf numFmtId="0" fontId="2" fillId="4" borderId="0" xfId="0" applyFont="1" applyFill="1"/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9" fontId="2" fillId="4" borderId="0" xfId="0" applyNumberFormat="1" applyFont="1" applyFill="1" applyBorder="1" applyAlignment="1">
      <alignment horizontal="center" vertical="center"/>
    </xf>
    <xf numFmtId="175" fontId="2" fillId="4" borderId="0" xfId="0" applyNumberFormat="1" applyFont="1" applyFill="1" applyBorder="1" applyAlignment="1">
      <alignment horizontal="center" vertical="center"/>
    </xf>
    <xf numFmtId="1" fontId="53" fillId="4" borderId="0" xfId="0" applyNumberFormat="1" applyFont="1" applyFill="1" applyBorder="1" applyAlignment="1">
      <alignment horizontal="center" vertical="center"/>
    </xf>
    <xf numFmtId="1" fontId="54" fillId="4" borderId="0" xfId="0" applyNumberFormat="1" applyFont="1" applyFill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2" fontId="59" fillId="0" borderId="0" xfId="0" applyNumberFormat="1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8" fontId="25" fillId="4" borderId="0" xfId="0" applyNumberFormat="1" applyFont="1" applyFill="1" applyBorder="1" applyAlignment="1">
      <alignment horizontal="right"/>
    </xf>
    <xf numFmtId="2" fontId="58" fillId="4" borderId="0" xfId="0" applyNumberFormat="1" applyFont="1" applyFill="1" applyBorder="1" applyAlignment="1">
      <alignment horizontal="center" vertical="center"/>
    </xf>
    <xf numFmtId="2" fontId="59" fillId="4" borderId="0" xfId="0" applyNumberFormat="1" applyFont="1" applyFill="1" applyBorder="1" applyAlignment="1">
      <alignment horizontal="center" vertical="center"/>
    </xf>
    <xf numFmtId="2" fontId="54" fillId="4" borderId="0" xfId="0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0" fontId="38" fillId="4" borderId="0" xfId="0" applyFont="1" applyFill="1" applyAlignment="1">
      <alignment horizontal="left" vertical="center"/>
    </xf>
    <xf numFmtId="0" fontId="63" fillId="0" borderId="0" xfId="0" applyFont="1" applyAlignment="1">
      <alignment vertical="center"/>
    </xf>
    <xf numFmtId="43" fontId="2" fillId="4" borderId="0" xfId="1" applyFont="1" applyFill="1"/>
    <xf numFmtId="43" fontId="2" fillId="0" borderId="0" xfId="1" applyFont="1"/>
    <xf numFmtId="0" fontId="65" fillId="4" borderId="0" xfId="0" applyFont="1" applyFill="1" applyBorder="1" applyAlignment="1">
      <alignment horizontal="left" vertical="center"/>
    </xf>
    <xf numFmtId="0" fontId="45" fillId="8" borderId="13" xfId="0" applyFont="1" applyFill="1" applyBorder="1" applyAlignment="1">
      <alignment vertical="center"/>
    </xf>
    <xf numFmtId="0" fontId="45" fillId="8" borderId="14" xfId="0" applyFont="1" applyFill="1" applyBorder="1" applyAlignment="1">
      <alignment vertical="center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" fontId="4" fillId="4" borderId="7" xfId="0" applyNumberFormat="1" applyFont="1" applyFill="1" applyBorder="1" applyAlignment="1">
      <alignment horizontal="center" vertical="center"/>
    </xf>
    <xf numFmtId="164" fontId="50" fillId="4" borderId="7" xfId="0" applyNumberFormat="1" applyFont="1" applyFill="1" applyBorder="1" applyAlignment="1">
      <alignment horizontal="center" vertical="center"/>
    </xf>
    <xf numFmtId="164" fontId="44" fillId="4" borderId="7" xfId="0" applyNumberFormat="1" applyFont="1" applyFill="1" applyBorder="1" applyAlignment="1">
      <alignment horizontal="center" vertical="center"/>
    </xf>
    <xf numFmtId="164" fontId="62" fillId="4" borderId="7" xfId="0" applyNumberFormat="1" applyFont="1" applyFill="1" applyBorder="1" applyAlignment="1">
      <alignment horizontal="center" vertical="center"/>
    </xf>
    <xf numFmtId="164" fontId="60" fillId="4" borderId="7" xfId="0" applyNumberFormat="1" applyFont="1" applyFill="1" applyBorder="1" applyAlignment="1">
      <alignment horizontal="center" vertical="center"/>
    </xf>
    <xf numFmtId="1" fontId="51" fillId="4" borderId="7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right"/>
    </xf>
    <xf numFmtId="49" fontId="35" fillId="0" borderId="0" xfId="1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/>
    <xf numFmtId="167" fontId="34" fillId="0" borderId="0" xfId="0" applyNumberFormat="1" applyFont="1" applyFill="1" applyBorder="1" applyAlignment="1">
      <alignment horizontal="center" vertical="center" wrapText="1"/>
    </xf>
    <xf numFmtId="43" fontId="36" fillId="0" borderId="0" xfId="1" applyFont="1" applyFill="1" applyBorder="1"/>
    <xf numFmtId="167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0" fontId="2" fillId="0" borderId="7" xfId="2" applyNumberFormat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8" borderId="16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12" fillId="0" borderId="0" xfId="0" applyFont="1" applyFill="1"/>
    <xf numFmtId="43" fontId="12" fillId="0" borderId="0" xfId="1" applyFont="1" applyFill="1"/>
    <xf numFmtId="0" fontId="38" fillId="4" borderId="7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left" vertical="center"/>
    </xf>
    <xf numFmtId="0" fontId="79" fillId="0" borderId="0" xfId="0" applyFont="1"/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164" fontId="79" fillId="0" borderId="0" xfId="0" applyNumberFormat="1" applyFont="1" applyAlignment="1">
      <alignment horizontal="center"/>
    </xf>
    <xf numFmtId="43" fontId="79" fillId="0" borderId="0" xfId="1" applyFont="1" applyFill="1" applyBorder="1" applyAlignment="1">
      <alignment horizontal="center" vertical="center" wrapText="1"/>
    </xf>
    <xf numFmtId="2" fontId="79" fillId="0" borderId="0" xfId="0" applyNumberFormat="1" applyFont="1" applyFill="1" applyAlignment="1">
      <alignment horizontal="center"/>
    </xf>
    <xf numFmtId="1" fontId="52" fillId="4" borderId="7" xfId="0" applyNumberFormat="1" applyFont="1" applyFill="1" applyBorder="1" applyAlignment="1">
      <alignment horizontal="center" vertical="center"/>
    </xf>
    <xf numFmtId="0" fontId="37" fillId="4" borderId="0" xfId="0" applyFont="1" applyFill="1"/>
    <xf numFmtId="0" fontId="37" fillId="0" borderId="0" xfId="0" applyFont="1"/>
    <xf numFmtId="0" fontId="37" fillId="0" borderId="0" xfId="0" applyFont="1" applyFill="1"/>
    <xf numFmtId="0" fontId="85" fillId="4" borderId="7" xfId="0" applyFont="1" applyFill="1" applyBorder="1" applyAlignment="1">
      <alignment horizontal="right" vertical="center"/>
    </xf>
    <xf numFmtId="175" fontId="25" fillId="4" borderId="7" xfId="0" applyNumberFormat="1" applyFont="1" applyFill="1" applyBorder="1" applyAlignment="1">
      <alignment horizontal="right" vertical="center"/>
    </xf>
    <xf numFmtId="0" fontId="25" fillId="4" borderId="0" xfId="0" applyFont="1" applyFill="1" applyAlignment="1">
      <alignment horizontal="right" vertical="center"/>
    </xf>
    <xf numFmtId="9" fontId="25" fillId="4" borderId="0" xfId="2" applyNumberFormat="1" applyFont="1" applyFill="1" applyAlignment="1">
      <alignment horizontal="right" vertical="center"/>
    </xf>
    <xf numFmtId="49" fontId="85" fillId="4" borderId="7" xfId="0" applyNumberFormat="1" applyFont="1" applyFill="1" applyBorder="1" applyAlignment="1">
      <alignment horizontal="right" vertical="center"/>
    </xf>
    <xf numFmtId="175" fontId="2" fillId="4" borderId="15" xfId="0" applyNumberFormat="1" applyFont="1" applyFill="1" applyBorder="1" applyAlignment="1">
      <alignment horizontal="center" vertical="center"/>
    </xf>
    <xf numFmtId="175" fontId="2" fillId="4" borderId="1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37" fillId="0" borderId="0" xfId="0" applyFont="1" applyBorder="1" applyAlignment="1">
      <alignment horizontal="left" vertical="center" wrapText="1"/>
    </xf>
    <xf numFmtId="0" fontId="37" fillId="4" borderId="0" xfId="0" applyFont="1" applyFill="1" applyBorder="1" applyAlignment="1">
      <alignment horizontal="center" vertical="center"/>
    </xf>
    <xf numFmtId="10" fontId="37" fillId="4" borderId="0" xfId="0" applyNumberFormat="1" applyFont="1" applyFill="1" applyBorder="1" applyAlignment="1">
      <alignment horizontal="center" vertical="center"/>
    </xf>
    <xf numFmtId="9" fontId="2" fillId="4" borderId="0" xfId="2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0" fontId="37" fillId="4" borderId="31" xfId="0" applyFont="1" applyFill="1" applyBorder="1" applyAlignment="1">
      <alignment horizontal="center" vertical="center"/>
    </xf>
    <xf numFmtId="10" fontId="37" fillId="4" borderId="32" xfId="0" applyNumberFormat="1" applyFont="1" applyFill="1" applyBorder="1" applyAlignment="1">
      <alignment horizontal="center" vertical="center"/>
    </xf>
    <xf numFmtId="0" fontId="37" fillId="0" borderId="33" xfId="0" applyFont="1" applyBorder="1" applyAlignment="1">
      <alignment horizontal="left" vertical="center" wrapText="1"/>
    </xf>
    <xf numFmtId="10" fontId="37" fillId="4" borderId="34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horizontal="left" vertical="center" wrapText="1"/>
    </xf>
    <xf numFmtId="0" fontId="37" fillId="4" borderId="35" xfId="0" applyFont="1" applyFill="1" applyBorder="1" applyAlignment="1">
      <alignment horizontal="center" vertical="center"/>
    </xf>
    <xf numFmtId="10" fontId="37" fillId="4" borderId="20" xfId="0" applyNumberFormat="1" applyFont="1" applyFill="1" applyBorder="1" applyAlignment="1">
      <alignment horizontal="center" vertical="center"/>
    </xf>
    <xf numFmtId="1" fontId="70" fillId="4" borderId="23" xfId="0" applyNumberFormat="1" applyFont="1" applyFill="1" applyBorder="1" applyAlignment="1">
      <alignment horizontal="center" vertical="center"/>
    </xf>
    <xf numFmtId="1" fontId="70" fillId="4" borderId="32" xfId="0" applyNumberFormat="1" applyFont="1" applyFill="1" applyBorder="1" applyAlignment="1">
      <alignment horizontal="center" vertical="center"/>
    </xf>
    <xf numFmtId="1" fontId="70" fillId="4" borderId="33" xfId="0" applyNumberFormat="1" applyFont="1" applyFill="1" applyBorder="1" applyAlignment="1">
      <alignment horizontal="center" vertical="center"/>
    </xf>
    <xf numFmtId="1" fontId="70" fillId="4" borderId="34" xfId="0" applyNumberFormat="1" applyFont="1" applyFill="1" applyBorder="1" applyAlignment="1">
      <alignment horizontal="center" vertical="center"/>
    </xf>
    <xf numFmtId="1" fontId="70" fillId="4" borderId="21" xfId="0" applyNumberFormat="1" applyFont="1" applyFill="1" applyBorder="1" applyAlignment="1">
      <alignment horizontal="center" vertical="center"/>
    </xf>
    <xf numFmtId="1" fontId="70" fillId="4" borderId="20" xfId="0" applyNumberFormat="1" applyFont="1" applyFill="1" applyBorder="1" applyAlignment="1">
      <alignment horizontal="center" vertical="center"/>
    </xf>
    <xf numFmtId="49" fontId="37" fillId="4" borderId="31" xfId="0" applyNumberFormat="1" applyFont="1" applyFill="1" applyBorder="1" applyAlignment="1">
      <alignment horizontal="center" vertical="center"/>
    </xf>
    <xf numFmtId="0" fontId="85" fillId="0" borderId="33" xfId="0" applyFont="1" applyBorder="1" applyAlignment="1">
      <alignment horizontal="right" vertical="center" wrapText="1"/>
    </xf>
    <xf numFmtId="10" fontId="85" fillId="4" borderId="34" xfId="0" applyNumberFormat="1" applyFont="1" applyFill="1" applyBorder="1" applyAlignment="1">
      <alignment horizontal="right" vertical="center"/>
    </xf>
    <xf numFmtId="0" fontId="85" fillId="0" borderId="21" xfId="0" applyFont="1" applyBorder="1" applyAlignment="1">
      <alignment horizontal="right" vertical="center" wrapText="1"/>
    </xf>
    <xf numFmtId="0" fontId="85" fillId="4" borderId="35" xfId="0" applyFont="1" applyFill="1" applyBorder="1" applyAlignment="1">
      <alignment horizontal="right" vertical="center"/>
    </xf>
    <xf numFmtId="49" fontId="85" fillId="4" borderId="35" xfId="0" applyNumberFormat="1" applyFont="1" applyFill="1" applyBorder="1" applyAlignment="1">
      <alignment horizontal="right" vertical="center"/>
    </xf>
    <xf numFmtId="10" fontId="85" fillId="4" borderId="20" xfId="0" applyNumberFormat="1" applyFont="1" applyFill="1" applyBorder="1" applyAlignment="1">
      <alignment horizontal="right" vertical="center"/>
    </xf>
    <xf numFmtId="1" fontId="84" fillId="4" borderId="23" xfId="0" applyNumberFormat="1" applyFont="1" applyFill="1" applyBorder="1" applyAlignment="1">
      <alignment horizontal="center" vertical="center"/>
    </xf>
    <xf numFmtId="1" fontId="60" fillId="4" borderId="32" xfId="0" applyNumberFormat="1" applyFont="1" applyFill="1" applyBorder="1" applyAlignment="1">
      <alignment horizontal="center" vertical="center"/>
    </xf>
    <xf numFmtId="164" fontId="86" fillId="4" borderId="33" xfId="0" applyNumberFormat="1" applyFont="1" applyFill="1" applyBorder="1" applyAlignment="1">
      <alignment horizontal="right" vertical="center"/>
    </xf>
    <xf numFmtId="164" fontId="86" fillId="4" borderId="34" xfId="0" applyNumberFormat="1" applyFont="1" applyFill="1" applyBorder="1" applyAlignment="1">
      <alignment horizontal="right" vertical="center"/>
    </xf>
    <xf numFmtId="1" fontId="60" fillId="4" borderId="23" xfId="0" applyNumberFormat="1" applyFont="1" applyFill="1" applyBorder="1" applyAlignment="1">
      <alignment horizontal="center" vertical="center"/>
    </xf>
    <xf numFmtId="1" fontId="84" fillId="4" borderId="32" xfId="0" applyNumberFormat="1" applyFont="1" applyFill="1" applyBorder="1" applyAlignment="1">
      <alignment horizontal="center" vertical="center"/>
    </xf>
    <xf numFmtId="1" fontId="87" fillId="4" borderId="33" xfId="0" applyNumberFormat="1" applyFont="1" applyFill="1" applyBorder="1" applyAlignment="1">
      <alignment horizontal="right" vertical="center"/>
    </xf>
    <xf numFmtId="1" fontId="88" fillId="4" borderId="34" xfId="0" applyNumberFormat="1" applyFont="1" applyFill="1" applyBorder="1" applyAlignment="1">
      <alignment horizontal="right" vertical="center"/>
    </xf>
    <xf numFmtId="1" fontId="86" fillId="4" borderId="33" xfId="0" applyNumberFormat="1" applyFont="1" applyFill="1" applyBorder="1" applyAlignment="1">
      <alignment horizontal="right" vertical="center"/>
    </xf>
    <xf numFmtId="1" fontId="86" fillId="4" borderId="34" xfId="0" applyNumberFormat="1" applyFont="1" applyFill="1" applyBorder="1" applyAlignment="1">
      <alignment horizontal="right" vertical="center"/>
    </xf>
    <xf numFmtId="1" fontId="86" fillId="4" borderId="21" xfId="0" applyNumberFormat="1" applyFont="1" applyFill="1" applyBorder="1" applyAlignment="1">
      <alignment horizontal="right" vertical="center"/>
    </xf>
    <xf numFmtId="1" fontId="86" fillId="4" borderId="20" xfId="0" applyNumberFormat="1" applyFont="1" applyFill="1" applyBorder="1" applyAlignment="1">
      <alignment horizontal="right" vertical="center"/>
    </xf>
    <xf numFmtId="1" fontId="4" fillId="4" borderId="23" xfId="0" applyNumberFormat="1" applyFont="1" applyFill="1" applyBorder="1" applyAlignment="1">
      <alignment horizontal="center" vertical="center"/>
    </xf>
    <xf numFmtId="1" fontId="4" fillId="4" borderId="32" xfId="0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 wrapText="1"/>
    </xf>
    <xf numFmtId="0" fontId="37" fillId="4" borderId="29" xfId="0" applyFont="1" applyFill="1" applyBorder="1" applyAlignment="1">
      <alignment horizontal="center" vertical="center"/>
    </xf>
    <xf numFmtId="10" fontId="37" fillId="4" borderId="30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30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89" fillId="0" borderId="7" xfId="0" applyFont="1" applyBorder="1" applyAlignment="1">
      <alignment horizontal="right"/>
    </xf>
    <xf numFmtId="0" fontId="90" fillId="2" borderId="31" xfId="0" applyFont="1" applyFill="1" applyBorder="1" applyAlignment="1">
      <alignment horizontal="center" vertical="center"/>
    </xf>
    <xf numFmtId="0" fontId="91" fillId="2" borderId="7" xfId="0" applyFont="1" applyFill="1" applyBorder="1" applyAlignment="1">
      <alignment horizontal="right" vertical="center"/>
    </xf>
    <xf numFmtId="0" fontId="92" fillId="2" borderId="31" xfId="0" applyFont="1" applyFill="1" applyBorder="1" applyAlignment="1">
      <alignment horizontal="center" vertical="center"/>
    </xf>
    <xf numFmtId="0" fontId="74" fillId="4" borderId="0" xfId="0" applyFont="1" applyFill="1" applyAlignment="1">
      <alignment horizontal="left" vertical="center"/>
    </xf>
    <xf numFmtId="0" fontId="0" fillId="4" borderId="7" xfId="0" applyFont="1" applyFill="1" applyBorder="1" applyAlignment="1">
      <alignment horizontal="center" vertical="center"/>
    </xf>
    <xf numFmtId="10" fontId="0" fillId="4" borderId="7" xfId="0" applyNumberFormat="1" applyFont="1" applyFill="1" applyBorder="1" applyAlignment="1">
      <alignment horizontal="center" vertical="center"/>
    </xf>
    <xf numFmtId="168" fontId="12" fillId="4" borderId="0" xfId="0" applyNumberFormat="1" applyFont="1" applyFill="1" applyBorder="1"/>
    <xf numFmtId="175" fontId="12" fillId="4" borderId="7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9" fontId="12" fillId="4" borderId="0" xfId="2" applyNumberFormat="1" applyFont="1" applyFill="1" applyAlignment="1">
      <alignment horizontal="center" vertical="center"/>
    </xf>
    <xf numFmtId="1" fontId="75" fillId="4" borderId="7" xfId="0" applyNumberFormat="1" applyFont="1" applyFill="1" applyBorder="1" applyAlignment="1">
      <alignment horizontal="center" vertical="center"/>
    </xf>
    <xf numFmtId="0" fontId="12" fillId="4" borderId="0" xfId="0" applyFont="1" applyFill="1"/>
    <xf numFmtId="168" fontId="76" fillId="4" borderId="0" xfId="0" applyNumberFormat="1" applyFont="1" applyFill="1" applyBorder="1" applyAlignment="1">
      <alignment horizontal="right"/>
    </xf>
    <xf numFmtId="0" fontId="76" fillId="4" borderId="0" xfId="0" applyFont="1" applyFill="1" applyAlignment="1">
      <alignment horizontal="right" vertical="center"/>
    </xf>
    <xf numFmtId="9" fontId="76" fillId="4" borderId="0" xfId="2" applyNumberFormat="1" applyFont="1" applyFill="1" applyAlignment="1">
      <alignment horizontal="right" vertical="center"/>
    </xf>
    <xf numFmtId="0" fontId="71" fillId="4" borderId="0" xfId="0" applyFont="1" applyFill="1" applyAlignment="1">
      <alignment horizontal="left" vertical="center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vertical="center"/>
    </xf>
    <xf numFmtId="164" fontId="12" fillId="4" borderId="0" xfId="0" applyNumberFormat="1" applyFont="1" applyFill="1"/>
    <xf numFmtId="1" fontId="12" fillId="4" borderId="0" xfId="0" applyNumberFormat="1" applyFont="1" applyFill="1"/>
    <xf numFmtId="0" fontId="12" fillId="4" borderId="0" xfId="0" applyFont="1" applyFill="1" applyAlignment="1">
      <alignment horizontal="left"/>
    </xf>
    <xf numFmtId="49" fontId="0" fillId="4" borderId="7" xfId="0" applyNumberFormat="1" applyFont="1" applyFill="1" applyBorder="1" applyAlignment="1">
      <alignment horizontal="center" vertical="center"/>
    </xf>
    <xf numFmtId="1" fontId="77" fillId="4" borderId="7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/>
    </xf>
    <xf numFmtId="10" fontId="12" fillId="4" borderId="7" xfId="0" applyNumberFormat="1" applyFont="1" applyFill="1" applyBorder="1" applyAlignment="1">
      <alignment horizontal="center" vertical="center"/>
    </xf>
    <xf numFmtId="1" fontId="70" fillId="4" borderId="7" xfId="0" applyNumberFormat="1" applyFont="1" applyFill="1" applyBorder="1" applyAlignment="1">
      <alignment horizontal="center" vertical="center"/>
    </xf>
    <xf numFmtId="166" fontId="12" fillId="4" borderId="7" xfId="0" applyNumberFormat="1" applyFont="1" applyFill="1" applyBorder="1" applyAlignment="1">
      <alignment horizontal="center" vertical="center"/>
    </xf>
    <xf numFmtId="0" fontId="90" fillId="2" borderId="7" xfId="0" applyFont="1" applyFill="1" applyBorder="1" applyAlignment="1">
      <alignment horizontal="center" vertical="center"/>
    </xf>
    <xf numFmtId="2" fontId="86" fillId="4" borderId="21" xfId="0" applyNumberFormat="1" applyFont="1" applyFill="1" applyBorder="1" applyAlignment="1">
      <alignment horizontal="right" vertical="center"/>
    </xf>
    <xf numFmtId="2" fontId="86" fillId="4" borderId="20" xfId="0" applyNumberFormat="1" applyFont="1" applyFill="1" applyBorder="1" applyAlignment="1">
      <alignment horizontal="right" vertical="center"/>
    </xf>
    <xf numFmtId="164" fontId="70" fillId="4" borderId="33" xfId="0" applyNumberFormat="1" applyFont="1" applyFill="1" applyBorder="1" applyAlignment="1">
      <alignment horizontal="center" vertical="center"/>
    </xf>
    <xf numFmtId="164" fontId="70" fillId="4" borderId="34" xfId="0" applyNumberFormat="1" applyFont="1" applyFill="1" applyBorder="1" applyAlignment="1">
      <alignment horizontal="center" vertical="center"/>
    </xf>
    <xf numFmtId="164" fontId="60" fillId="4" borderId="33" xfId="0" applyNumberFormat="1" applyFont="1" applyFill="1" applyBorder="1" applyAlignment="1">
      <alignment horizontal="center" vertical="center"/>
    </xf>
    <xf numFmtId="164" fontId="84" fillId="4" borderId="34" xfId="0" applyNumberFormat="1" applyFont="1" applyFill="1" applyBorder="1" applyAlignment="1">
      <alignment horizontal="center" vertical="center"/>
    </xf>
    <xf numFmtId="164" fontId="88" fillId="4" borderId="21" xfId="0" applyNumberFormat="1" applyFont="1" applyFill="1" applyBorder="1" applyAlignment="1">
      <alignment horizontal="right" vertical="center"/>
    </xf>
    <xf numFmtId="164" fontId="87" fillId="4" borderId="20" xfId="0" applyNumberFormat="1" applyFont="1" applyFill="1" applyBorder="1" applyAlignment="1">
      <alignment horizontal="right" vertical="center"/>
    </xf>
    <xf numFmtId="0" fontId="95" fillId="2" borderId="35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5" fillId="0" borderId="4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4" fillId="9" borderId="1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3" fillId="9" borderId="16" xfId="0" applyFont="1" applyFill="1" applyBorder="1" applyAlignment="1">
      <alignment horizontal="left" vertical="center" wrapText="1"/>
    </xf>
    <xf numFmtId="0" fontId="93" fillId="9" borderId="13" xfId="0" applyFont="1" applyFill="1" applyBorder="1" applyAlignment="1">
      <alignment horizontal="left" vertical="center" wrapText="1"/>
    </xf>
    <xf numFmtId="0" fontId="93" fillId="9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8" fillId="4" borderId="22" xfId="0" applyFont="1" applyFill="1" applyBorder="1" applyAlignment="1">
      <alignment horizontal="center" vertical="top" wrapText="1"/>
    </xf>
    <xf numFmtId="0" fontId="48" fillId="4" borderId="24" xfId="0" applyFont="1" applyFill="1" applyBorder="1" applyAlignment="1">
      <alignment horizontal="center" vertical="top" wrapText="1"/>
    </xf>
    <xf numFmtId="0" fontId="49" fillId="4" borderId="22" xfId="0" applyFont="1" applyFill="1" applyBorder="1" applyAlignment="1">
      <alignment horizontal="center" vertical="top" wrapText="1"/>
    </xf>
    <xf numFmtId="0" fontId="49" fillId="4" borderId="24" xfId="0" applyFont="1" applyFill="1" applyBorder="1" applyAlignment="1">
      <alignment horizontal="center" vertical="top" wrapText="1"/>
    </xf>
    <xf numFmtId="0" fontId="47" fillId="4" borderId="22" xfId="0" applyFont="1" applyFill="1" applyBorder="1" applyAlignment="1">
      <alignment horizontal="center" vertical="top" wrapText="1"/>
    </xf>
    <xf numFmtId="0" fontId="47" fillId="4" borderId="24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37" fillId="4" borderId="7" xfId="0" applyFont="1" applyFill="1" applyBorder="1" applyAlignment="1">
      <alignment horizontal="left" vertical="center" wrapText="1"/>
    </xf>
    <xf numFmtId="0" fontId="67" fillId="4" borderId="7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64" fontId="6" fillId="0" borderId="0" xfId="0" applyNumberFormat="1" applyFont="1"/>
    <xf numFmtId="164" fontId="8" fillId="0" borderId="0" xfId="0" applyNumberFormat="1" applyFont="1"/>
    <xf numFmtId="164" fontId="10" fillId="0" borderId="0" xfId="0" applyNumberFormat="1" applyFont="1"/>
    <xf numFmtId="0" fontId="3" fillId="0" borderId="0" xfId="0" applyFont="1" applyAlignment="1">
      <alignment horizontal="left" vertical="center"/>
    </xf>
    <xf numFmtId="43" fontId="3" fillId="0" borderId="15" xfId="1" applyFont="1" applyFill="1" applyBorder="1" applyAlignment="1">
      <alignment horizontal="center" vertical="center" wrapText="1"/>
    </xf>
    <xf numFmtId="43" fontId="3" fillId="0" borderId="15" xfId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166" fontId="3" fillId="0" borderId="7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3" fillId="10" borderId="7" xfId="2" applyNumberFormat="1" applyFont="1" applyFill="1" applyBorder="1" applyAlignment="1"/>
    <xf numFmtId="166" fontId="2" fillId="0" borderId="0" xfId="2" applyNumberFormat="1" applyFont="1" applyAlignment="1">
      <alignment horizontal="center" vertical="center" wrapText="1"/>
    </xf>
    <xf numFmtId="10" fontId="2" fillId="6" borderId="7" xfId="2" applyNumberFormat="1" applyFont="1" applyFill="1" applyBorder="1" applyAlignment="1">
      <alignment horizontal="center"/>
    </xf>
    <xf numFmtId="10" fontId="2" fillId="11" borderId="7" xfId="2" applyNumberFormat="1" applyFont="1" applyFill="1" applyBorder="1" applyAlignment="1">
      <alignment horizontal="center"/>
    </xf>
    <xf numFmtId="10" fontId="2" fillId="12" borderId="7" xfId="2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1" fontId="2" fillId="11" borderId="7" xfId="0" applyNumberFormat="1" applyFont="1" applyFill="1" applyBorder="1" applyAlignment="1">
      <alignment horizontal="center"/>
    </xf>
    <xf numFmtId="1" fontId="2" fillId="12" borderId="7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43" fontId="3" fillId="0" borderId="19" xfId="1" applyFont="1" applyFill="1" applyBorder="1" applyAlignment="1">
      <alignment horizontal="center" vertical="center" wrapText="1"/>
    </xf>
    <xf numFmtId="164" fontId="34" fillId="13" borderId="0" xfId="0" applyNumberFormat="1" applyFont="1" applyFill="1" applyBorder="1" applyAlignment="1">
      <alignment horizontal="center" vertical="distributed"/>
    </xf>
    <xf numFmtId="1" fontId="34" fillId="13" borderId="0" xfId="0" applyNumberFormat="1" applyFont="1" applyFill="1" applyBorder="1" applyAlignment="1">
      <alignment horizontal="center" vertical="distributed"/>
    </xf>
    <xf numFmtId="1" fontId="34" fillId="14" borderId="0" xfId="0" applyNumberFormat="1" applyFont="1" applyFill="1" applyBorder="1" applyAlignment="1">
      <alignment horizontal="center" vertical="distributed"/>
    </xf>
    <xf numFmtId="43" fontId="34" fillId="0" borderId="0" xfId="1" applyFont="1" applyFill="1" applyBorder="1" applyAlignment="1">
      <alignment horizontal="right"/>
    </xf>
    <xf numFmtId="2" fontId="34" fillId="15" borderId="0" xfId="0" applyNumberFormat="1" applyFont="1" applyFill="1" applyBorder="1" applyAlignment="1">
      <alignment horizontal="center" vertical="distributed"/>
    </xf>
    <xf numFmtId="1" fontId="34" fillId="15" borderId="0" xfId="0" applyNumberFormat="1" applyFont="1" applyFill="1" applyBorder="1" applyAlignment="1">
      <alignment horizontal="center" vertical="distributed"/>
    </xf>
    <xf numFmtId="1" fontId="34" fillId="0" borderId="0" xfId="0" applyNumberFormat="1" applyFont="1" applyBorder="1" applyAlignment="1">
      <alignment horizontal="center"/>
    </xf>
    <xf numFmtId="43" fontId="3" fillId="0" borderId="0" xfId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5" borderId="7" xfId="3" applyNumberFormat="1" applyFont="1" applyFill="1" applyBorder="1" applyAlignment="1">
      <alignment horizontal="center" vertical="center"/>
    </xf>
    <xf numFmtId="0" fontId="79" fillId="0" borderId="0" xfId="0" applyFont="1"/>
    <xf numFmtId="0" fontId="79" fillId="0" borderId="0" xfId="0" applyFont="1" applyAlignment="1">
      <alignment horizontal="center"/>
    </xf>
    <xf numFmtId="10" fontId="79" fillId="0" borderId="0" xfId="2" applyNumberFormat="1" applyFont="1"/>
    <xf numFmtId="10" fontId="79" fillId="0" borderId="0" xfId="2" applyNumberFormat="1" applyFont="1" applyAlignment="1">
      <alignment horizontal="center"/>
    </xf>
    <xf numFmtId="2" fontId="79" fillId="0" borderId="0" xfId="0" applyNumberFormat="1" applyFont="1" applyAlignment="1">
      <alignment horizontal="center"/>
    </xf>
    <xf numFmtId="168" fontId="80" fillId="0" borderId="0" xfId="3" applyNumberFormat="1" applyFont="1"/>
    <xf numFmtId="2" fontId="79" fillId="0" borderId="0" xfId="0" applyNumberFormat="1" applyFont="1" applyFill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</cellXfs>
  <cellStyles count="4">
    <cellStyle name="Millares" xfId="1" builtinId="3"/>
    <cellStyle name="Millares 2" xfId="3" xr:uid="{00000000-0005-0000-0000-00002F000000}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8000"/>
      <color rgb="FFFFFF99"/>
      <color rgb="FF0000FF"/>
      <color rgb="FFFF6600"/>
      <color rgb="FFFF9900"/>
      <color rgb="FF99CCFF"/>
      <color rgb="FFFFCCFF"/>
      <color rgb="FFFF3300"/>
      <color rgb="FF9933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1202-Galo/0-Datos/10-Temas%20publc/20230105-V&#209;%20IMPROVE-IT/Tablas%20nnt-1%20y%202,%203tB-1%20ABC%20lin,%20Gr&#225;f%20g-1.1%20a%201.3%20(3tB%20x%203dNNT),%20ECA%20IMPROVE-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Acum"/>
      <sheetName val="Gr1.1 IAM-nf 3x3"/>
      <sheetName val="Gr1.2 Ict-isq 3x3"/>
      <sheetName val="Gr1.3 MortCV EvCor Ict 3x3"/>
    </sheetNames>
    <sheetDataSet>
      <sheetData sheetId="0">
        <row r="5">
          <cell r="S5" t="str">
            <v>meses</v>
          </cell>
        </row>
        <row r="6">
          <cell r="R6" t="str">
            <v>Resto de t sin éxito</v>
          </cell>
          <cell r="S6">
            <v>4.2952517351547872</v>
          </cell>
        </row>
        <row r="7">
          <cell r="R7" t="str">
            <v>PtSLEv por la intervención</v>
          </cell>
          <cell r="S7">
            <v>0.54318379647606196</v>
          </cell>
        </row>
        <row r="8">
          <cell r="R8" t="str">
            <v>tSLEv sin la intervención</v>
          </cell>
          <cell r="S8">
            <v>67.16156446836915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8"/>
  <sheetViews>
    <sheetView tabSelected="1" zoomScale="70" zoomScaleNormal="70" workbookViewId="0">
      <selection activeCell="B2" sqref="B2:F2"/>
    </sheetView>
  </sheetViews>
  <sheetFormatPr baseColWidth="10" defaultRowHeight="13" x14ac:dyDescent="0.3"/>
  <cols>
    <col min="1" max="1" width="0.7265625" style="1" customWidth="1"/>
    <col min="2" max="2" width="39.36328125" style="1" customWidth="1"/>
    <col min="3" max="4" width="18.453125" style="1" customWidth="1"/>
    <col min="5" max="5" width="15.6328125" style="1" customWidth="1"/>
    <col min="6" max="6" width="21.7265625" style="1" customWidth="1"/>
    <col min="7" max="7" width="16.7265625" style="1" customWidth="1"/>
    <col min="8" max="8" width="9.7265625" style="1" customWidth="1"/>
    <col min="9" max="9" width="5.90625" style="1" customWidth="1"/>
    <col min="10" max="10" width="10.453125" style="1" hidden="1" customWidth="1"/>
    <col min="11" max="11" width="1.453125" style="1" hidden="1" customWidth="1"/>
    <col min="12" max="12" width="14.453125" style="1" hidden="1" customWidth="1"/>
    <col min="13" max="13" width="13.453125" style="1" hidden="1" customWidth="1"/>
    <col min="14" max="14" width="9.54296875" style="1" hidden="1" customWidth="1"/>
    <col min="15" max="15" width="11.26953125" style="6" customWidth="1"/>
    <col min="16" max="16" width="12.6328125" style="6" customWidth="1"/>
    <col min="17" max="17" width="2.54296875" style="1" customWidth="1"/>
    <col min="18" max="18" width="14.54296875" style="1" customWidth="1"/>
    <col min="19" max="19" width="15.453125" style="1" customWidth="1"/>
    <col min="20" max="20" width="13.54296875" style="1" customWidth="1"/>
    <col min="21" max="21" width="11.81640625" style="6" customWidth="1"/>
    <col min="22" max="22" width="6.36328125" style="6" customWidth="1"/>
    <col min="23" max="257" width="11.453125" style="1"/>
    <col min="258" max="258" width="20.26953125" style="1" customWidth="1"/>
    <col min="259" max="259" width="21.7265625" style="1" customWidth="1"/>
    <col min="260" max="260" width="22" style="1" customWidth="1"/>
    <col min="261" max="261" width="17.1796875" style="1" customWidth="1"/>
    <col min="262" max="262" width="21.453125" style="1" customWidth="1"/>
    <col min="263" max="263" width="19.54296875" style="1" customWidth="1"/>
    <col min="264" max="264" width="14.1796875" style="1" bestFit="1" customWidth="1"/>
    <col min="265" max="265" width="8.453125" style="1" customWidth="1"/>
    <col min="266" max="266" width="14.453125" style="1" bestFit="1" customWidth="1"/>
    <col min="267" max="267" width="4.453125" style="1" customWidth="1"/>
    <col min="268" max="268" width="14.453125" style="1" bestFit="1" customWidth="1"/>
    <col min="269" max="269" width="13.453125" style="1" customWidth="1"/>
    <col min="270" max="270" width="14.7265625" style="1" bestFit="1" customWidth="1"/>
    <col min="271" max="271" width="14.26953125" style="1" bestFit="1" customWidth="1"/>
    <col min="272" max="272" width="14.26953125" style="1" customWidth="1"/>
    <col min="273" max="273" width="14" style="1" bestFit="1" customWidth="1"/>
    <col min="274" max="274" width="11.54296875" style="1" bestFit="1" customWidth="1"/>
    <col min="275" max="275" width="13.81640625" style="1" bestFit="1" customWidth="1"/>
    <col min="276" max="513" width="11.453125" style="1"/>
    <col min="514" max="514" width="20.26953125" style="1" customWidth="1"/>
    <col min="515" max="515" width="21.7265625" style="1" customWidth="1"/>
    <col min="516" max="516" width="22" style="1" customWidth="1"/>
    <col min="517" max="517" width="17.1796875" style="1" customWidth="1"/>
    <col min="518" max="518" width="21.453125" style="1" customWidth="1"/>
    <col min="519" max="519" width="19.54296875" style="1" customWidth="1"/>
    <col min="520" max="520" width="14.1796875" style="1" bestFit="1" customWidth="1"/>
    <col min="521" max="521" width="8.453125" style="1" customWidth="1"/>
    <col min="522" max="522" width="14.453125" style="1" bestFit="1" customWidth="1"/>
    <col min="523" max="523" width="4.453125" style="1" customWidth="1"/>
    <col min="524" max="524" width="14.453125" style="1" bestFit="1" customWidth="1"/>
    <col min="525" max="525" width="13.453125" style="1" customWidth="1"/>
    <col min="526" max="526" width="14.7265625" style="1" bestFit="1" customWidth="1"/>
    <col min="527" max="527" width="14.26953125" style="1" bestFit="1" customWidth="1"/>
    <col min="528" max="528" width="14.26953125" style="1" customWidth="1"/>
    <col min="529" max="529" width="14" style="1" bestFit="1" customWidth="1"/>
    <col min="530" max="530" width="11.54296875" style="1" bestFit="1" customWidth="1"/>
    <col min="531" max="531" width="13.81640625" style="1" bestFit="1" customWidth="1"/>
    <col min="532" max="769" width="11.453125" style="1"/>
    <col min="770" max="770" width="20.26953125" style="1" customWidth="1"/>
    <col min="771" max="771" width="21.7265625" style="1" customWidth="1"/>
    <col min="772" max="772" width="22" style="1" customWidth="1"/>
    <col min="773" max="773" width="17.1796875" style="1" customWidth="1"/>
    <col min="774" max="774" width="21.453125" style="1" customWidth="1"/>
    <col min="775" max="775" width="19.54296875" style="1" customWidth="1"/>
    <col min="776" max="776" width="14.1796875" style="1" bestFit="1" customWidth="1"/>
    <col min="777" max="777" width="8.453125" style="1" customWidth="1"/>
    <col min="778" max="778" width="14.453125" style="1" bestFit="1" customWidth="1"/>
    <col min="779" max="779" width="4.453125" style="1" customWidth="1"/>
    <col min="780" max="780" width="14.453125" style="1" bestFit="1" customWidth="1"/>
    <col min="781" max="781" width="13.453125" style="1" customWidth="1"/>
    <col min="782" max="782" width="14.7265625" style="1" bestFit="1" customWidth="1"/>
    <col min="783" max="783" width="14.26953125" style="1" bestFit="1" customWidth="1"/>
    <col min="784" max="784" width="14.26953125" style="1" customWidth="1"/>
    <col min="785" max="785" width="14" style="1" bestFit="1" customWidth="1"/>
    <col min="786" max="786" width="11.54296875" style="1" bestFit="1" customWidth="1"/>
    <col min="787" max="787" width="13.81640625" style="1" bestFit="1" customWidth="1"/>
    <col min="788" max="1025" width="11.453125" style="1"/>
    <col min="1026" max="1026" width="20.26953125" style="1" customWidth="1"/>
    <col min="1027" max="1027" width="21.7265625" style="1" customWidth="1"/>
    <col min="1028" max="1028" width="22" style="1" customWidth="1"/>
    <col min="1029" max="1029" width="17.1796875" style="1" customWidth="1"/>
    <col min="1030" max="1030" width="21.453125" style="1" customWidth="1"/>
    <col min="1031" max="1031" width="19.54296875" style="1" customWidth="1"/>
    <col min="1032" max="1032" width="14.1796875" style="1" bestFit="1" customWidth="1"/>
    <col min="1033" max="1033" width="8.453125" style="1" customWidth="1"/>
    <col min="1034" max="1034" width="14.453125" style="1" bestFit="1" customWidth="1"/>
    <col min="1035" max="1035" width="4.453125" style="1" customWidth="1"/>
    <col min="1036" max="1036" width="14.453125" style="1" bestFit="1" customWidth="1"/>
    <col min="1037" max="1037" width="13.453125" style="1" customWidth="1"/>
    <col min="1038" max="1038" width="14.7265625" style="1" bestFit="1" customWidth="1"/>
    <col min="1039" max="1039" width="14.26953125" style="1" bestFit="1" customWidth="1"/>
    <col min="1040" max="1040" width="14.26953125" style="1" customWidth="1"/>
    <col min="1041" max="1041" width="14" style="1" bestFit="1" customWidth="1"/>
    <col min="1042" max="1042" width="11.54296875" style="1" bestFit="1" customWidth="1"/>
    <col min="1043" max="1043" width="13.81640625" style="1" bestFit="1" customWidth="1"/>
    <col min="1044" max="1281" width="11.453125" style="1"/>
    <col min="1282" max="1282" width="20.26953125" style="1" customWidth="1"/>
    <col min="1283" max="1283" width="21.7265625" style="1" customWidth="1"/>
    <col min="1284" max="1284" width="22" style="1" customWidth="1"/>
    <col min="1285" max="1285" width="17.1796875" style="1" customWidth="1"/>
    <col min="1286" max="1286" width="21.453125" style="1" customWidth="1"/>
    <col min="1287" max="1287" width="19.54296875" style="1" customWidth="1"/>
    <col min="1288" max="1288" width="14.1796875" style="1" bestFit="1" customWidth="1"/>
    <col min="1289" max="1289" width="8.453125" style="1" customWidth="1"/>
    <col min="1290" max="1290" width="14.453125" style="1" bestFit="1" customWidth="1"/>
    <col min="1291" max="1291" width="4.453125" style="1" customWidth="1"/>
    <col min="1292" max="1292" width="14.453125" style="1" bestFit="1" customWidth="1"/>
    <col min="1293" max="1293" width="13.453125" style="1" customWidth="1"/>
    <col min="1294" max="1294" width="14.7265625" style="1" bestFit="1" customWidth="1"/>
    <col min="1295" max="1295" width="14.26953125" style="1" bestFit="1" customWidth="1"/>
    <col min="1296" max="1296" width="14.26953125" style="1" customWidth="1"/>
    <col min="1297" max="1297" width="14" style="1" bestFit="1" customWidth="1"/>
    <col min="1298" max="1298" width="11.54296875" style="1" bestFit="1" customWidth="1"/>
    <col min="1299" max="1299" width="13.81640625" style="1" bestFit="1" customWidth="1"/>
    <col min="1300" max="1537" width="11.453125" style="1"/>
    <col min="1538" max="1538" width="20.26953125" style="1" customWidth="1"/>
    <col min="1539" max="1539" width="21.7265625" style="1" customWidth="1"/>
    <col min="1540" max="1540" width="22" style="1" customWidth="1"/>
    <col min="1541" max="1541" width="17.1796875" style="1" customWidth="1"/>
    <col min="1542" max="1542" width="21.453125" style="1" customWidth="1"/>
    <col min="1543" max="1543" width="19.54296875" style="1" customWidth="1"/>
    <col min="1544" max="1544" width="14.1796875" style="1" bestFit="1" customWidth="1"/>
    <col min="1545" max="1545" width="8.453125" style="1" customWidth="1"/>
    <col min="1546" max="1546" width="14.453125" style="1" bestFit="1" customWidth="1"/>
    <col min="1547" max="1547" width="4.453125" style="1" customWidth="1"/>
    <col min="1548" max="1548" width="14.453125" style="1" bestFit="1" customWidth="1"/>
    <col min="1549" max="1549" width="13.453125" style="1" customWidth="1"/>
    <col min="1550" max="1550" width="14.7265625" style="1" bestFit="1" customWidth="1"/>
    <col min="1551" max="1551" width="14.26953125" style="1" bestFit="1" customWidth="1"/>
    <col min="1552" max="1552" width="14.26953125" style="1" customWidth="1"/>
    <col min="1553" max="1553" width="14" style="1" bestFit="1" customWidth="1"/>
    <col min="1554" max="1554" width="11.54296875" style="1" bestFit="1" customWidth="1"/>
    <col min="1555" max="1555" width="13.81640625" style="1" bestFit="1" customWidth="1"/>
    <col min="1556" max="1793" width="11.453125" style="1"/>
    <col min="1794" max="1794" width="20.26953125" style="1" customWidth="1"/>
    <col min="1795" max="1795" width="21.7265625" style="1" customWidth="1"/>
    <col min="1796" max="1796" width="22" style="1" customWidth="1"/>
    <col min="1797" max="1797" width="17.1796875" style="1" customWidth="1"/>
    <col min="1798" max="1798" width="21.453125" style="1" customWidth="1"/>
    <col min="1799" max="1799" width="19.54296875" style="1" customWidth="1"/>
    <col min="1800" max="1800" width="14.1796875" style="1" bestFit="1" customWidth="1"/>
    <col min="1801" max="1801" width="8.453125" style="1" customWidth="1"/>
    <col min="1802" max="1802" width="14.453125" style="1" bestFit="1" customWidth="1"/>
    <col min="1803" max="1803" width="4.453125" style="1" customWidth="1"/>
    <col min="1804" max="1804" width="14.453125" style="1" bestFit="1" customWidth="1"/>
    <col min="1805" max="1805" width="13.453125" style="1" customWidth="1"/>
    <col min="1806" max="1806" width="14.7265625" style="1" bestFit="1" customWidth="1"/>
    <col min="1807" max="1807" width="14.26953125" style="1" bestFit="1" customWidth="1"/>
    <col min="1808" max="1808" width="14.26953125" style="1" customWidth="1"/>
    <col min="1809" max="1809" width="14" style="1" bestFit="1" customWidth="1"/>
    <col min="1810" max="1810" width="11.54296875" style="1" bestFit="1" customWidth="1"/>
    <col min="1811" max="1811" width="13.81640625" style="1" bestFit="1" customWidth="1"/>
    <col min="1812" max="2049" width="11.453125" style="1"/>
    <col min="2050" max="2050" width="20.26953125" style="1" customWidth="1"/>
    <col min="2051" max="2051" width="21.7265625" style="1" customWidth="1"/>
    <col min="2052" max="2052" width="22" style="1" customWidth="1"/>
    <col min="2053" max="2053" width="17.1796875" style="1" customWidth="1"/>
    <col min="2054" max="2054" width="21.453125" style="1" customWidth="1"/>
    <col min="2055" max="2055" width="19.54296875" style="1" customWidth="1"/>
    <col min="2056" max="2056" width="14.1796875" style="1" bestFit="1" customWidth="1"/>
    <col min="2057" max="2057" width="8.453125" style="1" customWidth="1"/>
    <col min="2058" max="2058" width="14.453125" style="1" bestFit="1" customWidth="1"/>
    <col min="2059" max="2059" width="4.453125" style="1" customWidth="1"/>
    <col min="2060" max="2060" width="14.453125" style="1" bestFit="1" customWidth="1"/>
    <col min="2061" max="2061" width="13.453125" style="1" customWidth="1"/>
    <col min="2062" max="2062" width="14.7265625" style="1" bestFit="1" customWidth="1"/>
    <col min="2063" max="2063" width="14.26953125" style="1" bestFit="1" customWidth="1"/>
    <col min="2064" max="2064" width="14.26953125" style="1" customWidth="1"/>
    <col min="2065" max="2065" width="14" style="1" bestFit="1" customWidth="1"/>
    <col min="2066" max="2066" width="11.54296875" style="1" bestFit="1" customWidth="1"/>
    <col min="2067" max="2067" width="13.81640625" style="1" bestFit="1" customWidth="1"/>
    <col min="2068" max="2305" width="11.453125" style="1"/>
    <col min="2306" max="2306" width="20.26953125" style="1" customWidth="1"/>
    <col min="2307" max="2307" width="21.7265625" style="1" customWidth="1"/>
    <col min="2308" max="2308" width="22" style="1" customWidth="1"/>
    <col min="2309" max="2309" width="17.1796875" style="1" customWidth="1"/>
    <col min="2310" max="2310" width="21.453125" style="1" customWidth="1"/>
    <col min="2311" max="2311" width="19.54296875" style="1" customWidth="1"/>
    <col min="2312" max="2312" width="14.1796875" style="1" bestFit="1" customWidth="1"/>
    <col min="2313" max="2313" width="8.453125" style="1" customWidth="1"/>
    <col min="2314" max="2314" width="14.453125" style="1" bestFit="1" customWidth="1"/>
    <col min="2315" max="2315" width="4.453125" style="1" customWidth="1"/>
    <col min="2316" max="2316" width="14.453125" style="1" bestFit="1" customWidth="1"/>
    <col min="2317" max="2317" width="13.453125" style="1" customWidth="1"/>
    <col min="2318" max="2318" width="14.7265625" style="1" bestFit="1" customWidth="1"/>
    <col min="2319" max="2319" width="14.26953125" style="1" bestFit="1" customWidth="1"/>
    <col min="2320" max="2320" width="14.26953125" style="1" customWidth="1"/>
    <col min="2321" max="2321" width="14" style="1" bestFit="1" customWidth="1"/>
    <col min="2322" max="2322" width="11.54296875" style="1" bestFit="1" customWidth="1"/>
    <col min="2323" max="2323" width="13.81640625" style="1" bestFit="1" customWidth="1"/>
    <col min="2324" max="2561" width="11.453125" style="1"/>
    <col min="2562" max="2562" width="20.26953125" style="1" customWidth="1"/>
    <col min="2563" max="2563" width="21.7265625" style="1" customWidth="1"/>
    <col min="2564" max="2564" width="22" style="1" customWidth="1"/>
    <col min="2565" max="2565" width="17.1796875" style="1" customWidth="1"/>
    <col min="2566" max="2566" width="21.453125" style="1" customWidth="1"/>
    <col min="2567" max="2567" width="19.54296875" style="1" customWidth="1"/>
    <col min="2568" max="2568" width="14.1796875" style="1" bestFit="1" customWidth="1"/>
    <col min="2569" max="2569" width="8.453125" style="1" customWidth="1"/>
    <col min="2570" max="2570" width="14.453125" style="1" bestFit="1" customWidth="1"/>
    <col min="2571" max="2571" width="4.453125" style="1" customWidth="1"/>
    <col min="2572" max="2572" width="14.453125" style="1" bestFit="1" customWidth="1"/>
    <col min="2573" max="2573" width="13.453125" style="1" customWidth="1"/>
    <col min="2574" max="2574" width="14.7265625" style="1" bestFit="1" customWidth="1"/>
    <col min="2575" max="2575" width="14.26953125" style="1" bestFit="1" customWidth="1"/>
    <col min="2576" max="2576" width="14.26953125" style="1" customWidth="1"/>
    <col min="2577" max="2577" width="14" style="1" bestFit="1" customWidth="1"/>
    <col min="2578" max="2578" width="11.54296875" style="1" bestFit="1" customWidth="1"/>
    <col min="2579" max="2579" width="13.81640625" style="1" bestFit="1" customWidth="1"/>
    <col min="2580" max="2817" width="11.453125" style="1"/>
    <col min="2818" max="2818" width="20.26953125" style="1" customWidth="1"/>
    <col min="2819" max="2819" width="21.7265625" style="1" customWidth="1"/>
    <col min="2820" max="2820" width="22" style="1" customWidth="1"/>
    <col min="2821" max="2821" width="17.1796875" style="1" customWidth="1"/>
    <col min="2822" max="2822" width="21.453125" style="1" customWidth="1"/>
    <col min="2823" max="2823" width="19.54296875" style="1" customWidth="1"/>
    <col min="2824" max="2824" width="14.1796875" style="1" bestFit="1" customWidth="1"/>
    <col min="2825" max="2825" width="8.453125" style="1" customWidth="1"/>
    <col min="2826" max="2826" width="14.453125" style="1" bestFit="1" customWidth="1"/>
    <col min="2827" max="2827" width="4.453125" style="1" customWidth="1"/>
    <col min="2828" max="2828" width="14.453125" style="1" bestFit="1" customWidth="1"/>
    <col min="2829" max="2829" width="13.453125" style="1" customWidth="1"/>
    <col min="2830" max="2830" width="14.7265625" style="1" bestFit="1" customWidth="1"/>
    <col min="2831" max="2831" width="14.26953125" style="1" bestFit="1" customWidth="1"/>
    <col min="2832" max="2832" width="14.26953125" style="1" customWidth="1"/>
    <col min="2833" max="2833" width="14" style="1" bestFit="1" customWidth="1"/>
    <col min="2834" max="2834" width="11.54296875" style="1" bestFit="1" customWidth="1"/>
    <col min="2835" max="2835" width="13.81640625" style="1" bestFit="1" customWidth="1"/>
    <col min="2836" max="3073" width="11.453125" style="1"/>
    <col min="3074" max="3074" width="20.26953125" style="1" customWidth="1"/>
    <col min="3075" max="3075" width="21.7265625" style="1" customWidth="1"/>
    <col min="3076" max="3076" width="22" style="1" customWidth="1"/>
    <col min="3077" max="3077" width="17.1796875" style="1" customWidth="1"/>
    <col min="3078" max="3078" width="21.453125" style="1" customWidth="1"/>
    <col min="3079" max="3079" width="19.54296875" style="1" customWidth="1"/>
    <col min="3080" max="3080" width="14.1796875" style="1" bestFit="1" customWidth="1"/>
    <col min="3081" max="3081" width="8.453125" style="1" customWidth="1"/>
    <col min="3082" max="3082" width="14.453125" style="1" bestFit="1" customWidth="1"/>
    <col min="3083" max="3083" width="4.453125" style="1" customWidth="1"/>
    <col min="3084" max="3084" width="14.453125" style="1" bestFit="1" customWidth="1"/>
    <col min="3085" max="3085" width="13.453125" style="1" customWidth="1"/>
    <col min="3086" max="3086" width="14.7265625" style="1" bestFit="1" customWidth="1"/>
    <col min="3087" max="3087" width="14.26953125" style="1" bestFit="1" customWidth="1"/>
    <col min="3088" max="3088" width="14.26953125" style="1" customWidth="1"/>
    <col min="3089" max="3089" width="14" style="1" bestFit="1" customWidth="1"/>
    <col min="3090" max="3090" width="11.54296875" style="1" bestFit="1" customWidth="1"/>
    <col min="3091" max="3091" width="13.81640625" style="1" bestFit="1" customWidth="1"/>
    <col min="3092" max="3329" width="11.453125" style="1"/>
    <col min="3330" max="3330" width="20.26953125" style="1" customWidth="1"/>
    <col min="3331" max="3331" width="21.7265625" style="1" customWidth="1"/>
    <col min="3332" max="3332" width="22" style="1" customWidth="1"/>
    <col min="3333" max="3333" width="17.1796875" style="1" customWidth="1"/>
    <col min="3334" max="3334" width="21.453125" style="1" customWidth="1"/>
    <col min="3335" max="3335" width="19.54296875" style="1" customWidth="1"/>
    <col min="3336" max="3336" width="14.1796875" style="1" bestFit="1" customWidth="1"/>
    <col min="3337" max="3337" width="8.453125" style="1" customWidth="1"/>
    <col min="3338" max="3338" width="14.453125" style="1" bestFit="1" customWidth="1"/>
    <col min="3339" max="3339" width="4.453125" style="1" customWidth="1"/>
    <col min="3340" max="3340" width="14.453125" style="1" bestFit="1" customWidth="1"/>
    <col min="3341" max="3341" width="13.453125" style="1" customWidth="1"/>
    <col min="3342" max="3342" width="14.7265625" style="1" bestFit="1" customWidth="1"/>
    <col min="3343" max="3343" width="14.26953125" style="1" bestFit="1" customWidth="1"/>
    <col min="3344" max="3344" width="14.26953125" style="1" customWidth="1"/>
    <col min="3345" max="3345" width="14" style="1" bestFit="1" customWidth="1"/>
    <col min="3346" max="3346" width="11.54296875" style="1" bestFit="1" customWidth="1"/>
    <col min="3347" max="3347" width="13.81640625" style="1" bestFit="1" customWidth="1"/>
    <col min="3348" max="3585" width="11.453125" style="1"/>
    <col min="3586" max="3586" width="20.26953125" style="1" customWidth="1"/>
    <col min="3587" max="3587" width="21.7265625" style="1" customWidth="1"/>
    <col min="3588" max="3588" width="22" style="1" customWidth="1"/>
    <col min="3589" max="3589" width="17.1796875" style="1" customWidth="1"/>
    <col min="3590" max="3590" width="21.453125" style="1" customWidth="1"/>
    <col min="3591" max="3591" width="19.54296875" style="1" customWidth="1"/>
    <col min="3592" max="3592" width="14.1796875" style="1" bestFit="1" customWidth="1"/>
    <col min="3593" max="3593" width="8.453125" style="1" customWidth="1"/>
    <col min="3594" max="3594" width="14.453125" style="1" bestFit="1" customWidth="1"/>
    <col min="3595" max="3595" width="4.453125" style="1" customWidth="1"/>
    <col min="3596" max="3596" width="14.453125" style="1" bestFit="1" customWidth="1"/>
    <col min="3597" max="3597" width="13.453125" style="1" customWidth="1"/>
    <col min="3598" max="3598" width="14.7265625" style="1" bestFit="1" customWidth="1"/>
    <col min="3599" max="3599" width="14.26953125" style="1" bestFit="1" customWidth="1"/>
    <col min="3600" max="3600" width="14.26953125" style="1" customWidth="1"/>
    <col min="3601" max="3601" width="14" style="1" bestFit="1" customWidth="1"/>
    <col min="3602" max="3602" width="11.54296875" style="1" bestFit="1" customWidth="1"/>
    <col min="3603" max="3603" width="13.81640625" style="1" bestFit="1" customWidth="1"/>
    <col min="3604" max="3841" width="11.453125" style="1"/>
    <col min="3842" max="3842" width="20.26953125" style="1" customWidth="1"/>
    <col min="3843" max="3843" width="21.7265625" style="1" customWidth="1"/>
    <col min="3844" max="3844" width="22" style="1" customWidth="1"/>
    <col min="3845" max="3845" width="17.1796875" style="1" customWidth="1"/>
    <col min="3846" max="3846" width="21.453125" style="1" customWidth="1"/>
    <col min="3847" max="3847" width="19.54296875" style="1" customWidth="1"/>
    <col min="3848" max="3848" width="14.1796875" style="1" bestFit="1" customWidth="1"/>
    <col min="3849" max="3849" width="8.453125" style="1" customWidth="1"/>
    <col min="3850" max="3850" width="14.453125" style="1" bestFit="1" customWidth="1"/>
    <col min="3851" max="3851" width="4.453125" style="1" customWidth="1"/>
    <col min="3852" max="3852" width="14.453125" style="1" bestFit="1" customWidth="1"/>
    <col min="3853" max="3853" width="13.453125" style="1" customWidth="1"/>
    <col min="3854" max="3854" width="14.7265625" style="1" bestFit="1" customWidth="1"/>
    <col min="3855" max="3855" width="14.26953125" style="1" bestFit="1" customWidth="1"/>
    <col min="3856" max="3856" width="14.26953125" style="1" customWidth="1"/>
    <col min="3857" max="3857" width="14" style="1" bestFit="1" customWidth="1"/>
    <col min="3858" max="3858" width="11.54296875" style="1" bestFit="1" customWidth="1"/>
    <col min="3859" max="3859" width="13.81640625" style="1" bestFit="1" customWidth="1"/>
    <col min="3860" max="4097" width="11.453125" style="1"/>
    <col min="4098" max="4098" width="20.26953125" style="1" customWidth="1"/>
    <col min="4099" max="4099" width="21.7265625" style="1" customWidth="1"/>
    <col min="4100" max="4100" width="22" style="1" customWidth="1"/>
    <col min="4101" max="4101" width="17.1796875" style="1" customWidth="1"/>
    <col min="4102" max="4102" width="21.453125" style="1" customWidth="1"/>
    <col min="4103" max="4103" width="19.54296875" style="1" customWidth="1"/>
    <col min="4104" max="4104" width="14.1796875" style="1" bestFit="1" customWidth="1"/>
    <col min="4105" max="4105" width="8.453125" style="1" customWidth="1"/>
    <col min="4106" max="4106" width="14.453125" style="1" bestFit="1" customWidth="1"/>
    <col min="4107" max="4107" width="4.453125" style="1" customWidth="1"/>
    <col min="4108" max="4108" width="14.453125" style="1" bestFit="1" customWidth="1"/>
    <col min="4109" max="4109" width="13.453125" style="1" customWidth="1"/>
    <col min="4110" max="4110" width="14.7265625" style="1" bestFit="1" customWidth="1"/>
    <col min="4111" max="4111" width="14.26953125" style="1" bestFit="1" customWidth="1"/>
    <col min="4112" max="4112" width="14.26953125" style="1" customWidth="1"/>
    <col min="4113" max="4113" width="14" style="1" bestFit="1" customWidth="1"/>
    <col min="4114" max="4114" width="11.54296875" style="1" bestFit="1" customWidth="1"/>
    <col min="4115" max="4115" width="13.81640625" style="1" bestFit="1" customWidth="1"/>
    <col min="4116" max="4353" width="11.453125" style="1"/>
    <col min="4354" max="4354" width="20.26953125" style="1" customWidth="1"/>
    <col min="4355" max="4355" width="21.7265625" style="1" customWidth="1"/>
    <col min="4356" max="4356" width="22" style="1" customWidth="1"/>
    <col min="4357" max="4357" width="17.1796875" style="1" customWidth="1"/>
    <col min="4358" max="4358" width="21.453125" style="1" customWidth="1"/>
    <col min="4359" max="4359" width="19.54296875" style="1" customWidth="1"/>
    <col min="4360" max="4360" width="14.1796875" style="1" bestFit="1" customWidth="1"/>
    <col min="4361" max="4361" width="8.453125" style="1" customWidth="1"/>
    <col min="4362" max="4362" width="14.453125" style="1" bestFit="1" customWidth="1"/>
    <col min="4363" max="4363" width="4.453125" style="1" customWidth="1"/>
    <col min="4364" max="4364" width="14.453125" style="1" bestFit="1" customWidth="1"/>
    <col min="4365" max="4365" width="13.453125" style="1" customWidth="1"/>
    <col min="4366" max="4366" width="14.7265625" style="1" bestFit="1" customWidth="1"/>
    <col min="4367" max="4367" width="14.26953125" style="1" bestFit="1" customWidth="1"/>
    <col min="4368" max="4368" width="14.26953125" style="1" customWidth="1"/>
    <col min="4369" max="4369" width="14" style="1" bestFit="1" customWidth="1"/>
    <col min="4370" max="4370" width="11.54296875" style="1" bestFit="1" customWidth="1"/>
    <col min="4371" max="4371" width="13.81640625" style="1" bestFit="1" customWidth="1"/>
    <col min="4372" max="4609" width="11.453125" style="1"/>
    <col min="4610" max="4610" width="20.26953125" style="1" customWidth="1"/>
    <col min="4611" max="4611" width="21.7265625" style="1" customWidth="1"/>
    <col min="4612" max="4612" width="22" style="1" customWidth="1"/>
    <col min="4613" max="4613" width="17.1796875" style="1" customWidth="1"/>
    <col min="4614" max="4614" width="21.453125" style="1" customWidth="1"/>
    <col min="4615" max="4615" width="19.54296875" style="1" customWidth="1"/>
    <col min="4616" max="4616" width="14.1796875" style="1" bestFit="1" customWidth="1"/>
    <col min="4617" max="4617" width="8.453125" style="1" customWidth="1"/>
    <col min="4618" max="4618" width="14.453125" style="1" bestFit="1" customWidth="1"/>
    <col min="4619" max="4619" width="4.453125" style="1" customWidth="1"/>
    <col min="4620" max="4620" width="14.453125" style="1" bestFit="1" customWidth="1"/>
    <col min="4621" max="4621" width="13.453125" style="1" customWidth="1"/>
    <col min="4622" max="4622" width="14.7265625" style="1" bestFit="1" customWidth="1"/>
    <col min="4623" max="4623" width="14.26953125" style="1" bestFit="1" customWidth="1"/>
    <col min="4624" max="4624" width="14.26953125" style="1" customWidth="1"/>
    <col min="4625" max="4625" width="14" style="1" bestFit="1" customWidth="1"/>
    <col min="4626" max="4626" width="11.54296875" style="1" bestFit="1" customWidth="1"/>
    <col min="4627" max="4627" width="13.81640625" style="1" bestFit="1" customWidth="1"/>
    <col min="4628" max="4865" width="11.453125" style="1"/>
    <col min="4866" max="4866" width="20.26953125" style="1" customWidth="1"/>
    <col min="4867" max="4867" width="21.7265625" style="1" customWidth="1"/>
    <col min="4868" max="4868" width="22" style="1" customWidth="1"/>
    <col min="4869" max="4869" width="17.1796875" style="1" customWidth="1"/>
    <col min="4870" max="4870" width="21.453125" style="1" customWidth="1"/>
    <col min="4871" max="4871" width="19.54296875" style="1" customWidth="1"/>
    <col min="4872" max="4872" width="14.1796875" style="1" bestFit="1" customWidth="1"/>
    <col min="4873" max="4873" width="8.453125" style="1" customWidth="1"/>
    <col min="4874" max="4874" width="14.453125" style="1" bestFit="1" customWidth="1"/>
    <col min="4875" max="4875" width="4.453125" style="1" customWidth="1"/>
    <col min="4876" max="4876" width="14.453125" style="1" bestFit="1" customWidth="1"/>
    <col min="4877" max="4877" width="13.453125" style="1" customWidth="1"/>
    <col min="4878" max="4878" width="14.7265625" style="1" bestFit="1" customWidth="1"/>
    <col min="4879" max="4879" width="14.26953125" style="1" bestFit="1" customWidth="1"/>
    <col min="4880" max="4880" width="14.26953125" style="1" customWidth="1"/>
    <col min="4881" max="4881" width="14" style="1" bestFit="1" customWidth="1"/>
    <col min="4882" max="4882" width="11.54296875" style="1" bestFit="1" customWidth="1"/>
    <col min="4883" max="4883" width="13.81640625" style="1" bestFit="1" customWidth="1"/>
    <col min="4884" max="5121" width="11.453125" style="1"/>
    <col min="5122" max="5122" width="20.26953125" style="1" customWidth="1"/>
    <col min="5123" max="5123" width="21.7265625" style="1" customWidth="1"/>
    <col min="5124" max="5124" width="22" style="1" customWidth="1"/>
    <col min="5125" max="5125" width="17.1796875" style="1" customWidth="1"/>
    <col min="5126" max="5126" width="21.453125" style="1" customWidth="1"/>
    <col min="5127" max="5127" width="19.54296875" style="1" customWidth="1"/>
    <col min="5128" max="5128" width="14.1796875" style="1" bestFit="1" customWidth="1"/>
    <col min="5129" max="5129" width="8.453125" style="1" customWidth="1"/>
    <col min="5130" max="5130" width="14.453125" style="1" bestFit="1" customWidth="1"/>
    <col min="5131" max="5131" width="4.453125" style="1" customWidth="1"/>
    <col min="5132" max="5132" width="14.453125" style="1" bestFit="1" customWidth="1"/>
    <col min="5133" max="5133" width="13.453125" style="1" customWidth="1"/>
    <col min="5134" max="5134" width="14.7265625" style="1" bestFit="1" customWidth="1"/>
    <col min="5135" max="5135" width="14.26953125" style="1" bestFit="1" customWidth="1"/>
    <col min="5136" max="5136" width="14.26953125" style="1" customWidth="1"/>
    <col min="5137" max="5137" width="14" style="1" bestFit="1" customWidth="1"/>
    <col min="5138" max="5138" width="11.54296875" style="1" bestFit="1" customWidth="1"/>
    <col min="5139" max="5139" width="13.81640625" style="1" bestFit="1" customWidth="1"/>
    <col min="5140" max="5377" width="11.453125" style="1"/>
    <col min="5378" max="5378" width="20.26953125" style="1" customWidth="1"/>
    <col min="5379" max="5379" width="21.7265625" style="1" customWidth="1"/>
    <col min="5380" max="5380" width="22" style="1" customWidth="1"/>
    <col min="5381" max="5381" width="17.1796875" style="1" customWidth="1"/>
    <col min="5382" max="5382" width="21.453125" style="1" customWidth="1"/>
    <col min="5383" max="5383" width="19.54296875" style="1" customWidth="1"/>
    <col min="5384" max="5384" width="14.1796875" style="1" bestFit="1" customWidth="1"/>
    <col min="5385" max="5385" width="8.453125" style="1" customWidth="1"/>
    <col min="5386" max="5386" width="14.453125" style="1" bestFit="1" customWidth="1"/>
    <col min="5387" max="5387" width="4.453125" style="1" customWidth="1"/>
    <col min="5388" max="5388" width="14.453125" style="1" bestFit="1" customWidth="1"/>
    <col min="5389" max="5389" width="13.453125" style="1" customWidth="1"/>
    <col min="5390" max="5390" width="14.7265625" style="1" bestFit="1" customWidth="1"/>
    <col min="5391" max="5391" width="14.26953125" style="1" bestFit="1" customWidth="1"/>
    <col min="5392" max="5392" width="14.26953125" style="1" customWidth="1"/>
    <col min="5393" max="5393" width="14" style="1" bestFit="1" customWidth="1"/>
    <col min="5394" max="5394" width="11.54296875" style="1" bestFit="1" customWidth="1"/>
    <col min="5395" max="5395" width="13.81640625" style="1" bestFit="1" customWidth="1"/>
    <col min="5396" max="5633" width="11.453125" style="1"/>
    <col min="5634" max="5634" width="20.26953125" style="1" customWidth="1"/>
    <col min="5635" max="5635" width="21.7265625" style="1" customWidth="1"/>
    <col min="5636" max="5636" width="22" style="1" customWidth="1"/>
    <col min="5637" max="5637" width="17.1796875" style="1" customWidth="1"/>
    <col min="5638" max="5638" width="21.453125" style="1" customWidth="1"/>
    <col min="5639" max="5639" width="19.54296875" style="1" customWidth="1"/>
    <col min="5640" max="5640" width="14.1796875" style="1" bestFit="1" customWidth="1"/>
    <col min="5641" max="5641" width="8.453125" style="1" customWidth="1"/>
    <col min="5642" max="5642" width="14.453125" style="1" bestFit="1" customWidth="1"/>
    <col min="5643" max="5643" width="4.453125" style="1" customWidth="1"/>
    <col min="5644" max="5644" width="14.453125" style="1" bestFit="1" customWidth="1"/>
    <col min="5645" max="5645" width="13.453125" style="1" customWidth="1"/>
    <col min="5646" max="5646" width="14.7265625" style="1" bestFit="1" customWidth="1"/>
    <col min="5647" max="5647" width="14.26953125" style="1" bestFit="1" customWidth="1"/>
    <col min="5648" max="5648" width="14.26953125" style="1" customWidth="1"/>
    <col min="5649" max="5649" width="14" style="1" bestFit="1" customWidth="1"/>
    <col min="5650" max="5650" width="11.54296875" style="1" bestFit="1" customWidth="1"/>
    <col min="5651" max="5651" width="13.81640625" style="1" bestFit="1" customWidth="1"/>
    <col min="5652" max="5889" width="11.453125" style="1"/>
    <col min="5890" max="5890" width="20.26953125" style="1" customWidth="1"/>
    <col min="5891" max="5891" width="21.7265625" style="1" customWidth="1"/>
    <col min="5892" max="5892" width="22" style="1" customWidth="1"/>
    <col min="5893" max="5893" width="17.1796875" style="1" customWidth="1"/>
    <col min="5894" max="5894" width="21.453125" style="1" customWidth="1"/>
    <col min="5895" max="5895" width="19.54296875" style="1" customWidth="1"/>
    <col min="5896" max="5896" width="14.1796875" style="1" bestFit="1" customWidth="1"/>
    <col min="5897" max="5897" width="8.453125" style="1" customWidth="1"/>
    <col min="5898" max="5898" width="14.453125" style="1" bestFit="1" customWidth="1"/>
    <col min="5899" max="5899" width="4.453125" style="1" customWidth="1"/>
    <col min="5900" max="5900" width="14.453125" style="1" bestFit="1" customWidth="1"/>
    <col min="5901" max="5901" width="13.453125" style="1" customWidth="1"/>
    <col min="5902" max="5902" width="14.7265625" style="1" bestFit="1" customWidth="1"/>
    <col min="5903" max="5903" width="14.26953125" style="1" bestFit="1" customWidth="1"/>
    <col min="5904" max="5904" width="14.26953125" style="1" customWidth="1"/>
    <col min="5905" max="5905" width="14" style="1" bestFit="1" customWidth="1"/>
    <col min="5906" max="5906" width="11.54296875" style="1" bestFit="1" customWidth="1"/>
    <col min="5907" max="5907" width="13.81640625" style="1" bestFit="1" customWidth="1"/>
    <col min="5908" max="6145" width="11.453125" style="1"/>
    <col min="6146" max="6146" width="20.26953125" style="1" customWidth="1"/>
    <col min="6147" max="6147" width="21.7265625" style="1" customWidth="1"/>
    <col min="6148" max="6148" width="22" style="1" customWidth="1"/>
    <col min="6149" max="6149" width="17.1796875" style="1" customWidth="1"/>
    <col min="6150" max="6150" width="21.453125" style="1" customWidth="1"/>
    <col min="6151" max="6151" width="19.54296875" style="1" customWidth="1"/>
    <col min="6152" max="6152" width="14.1796875" style="1" bestFit="1" customWidth="1"/>
    <col min="6153" max="6153" width="8.453125" style="1" customWidth="1"/>
    <col min="6154" max="6154" width="14.453125" style="1" bestFit="1" customWidth="1"/>
    <col min="6155" max="6155" width="4.453125" style="1" customWidth="1"/>
    <col min="6156" max="6156" width="14.453125" style="1" bestFit="1" customWidth="1"/>
    <col min="6157" max="6157" width="13.453125" style="1" customWidth="1"/>
    <col min="6158" max="6158" width="14.7265625" style="1" bestFit="1" customWidth="1"/>
    <col min="6159" max="6159" width="14.26953125" style="1" bestFit="1" customWidth="1"/>
    <col min="6160" max="6160" width="14.26953125" style="1" customWidth="1"/>
    <col min="6161" max="6161" width="14" style="1" bestFit="1" customWidth="1"/>
    <col min="6162" max="6162" width="11.54296875" style="1" bestFit="1" customWidth="1"/>
    <col min="6163" max="6163" width="13.81640625" style="1" bestFit="1" customWidth="1"/>
    <col min="6164" max="6401" width="11.453125" style="1"/>
    <col min="6402" max="6402" width="20.26953125" style="1" customWidth="1"/>
    <col min="6403" max="6403" width="21.7265625" style="1" customWidth="1"/>
    <col min="6404" max="6404" width="22" style="1" customWidth="1"/>
    <col min="6405" max="6405" width="17.1796875" style="1" customWidth="1"/>
    <col min="6406" max="6406" width="21.453125" style="1" customWidth="1"/>
    <col min="6407" max="6407" width="19.54296875" style="1" customWidth="1"/>
    <col min="6408" max="6408" width="14.1796875" style="1" bestFit="1" customWidth="1"/>
    <col min="6409" max="6409" width="8.453125" style="1" customWidth="1"/>
    <col min="6410" max="6410" width="14.453125" style="1" bestFit="1" customWidth="1"/>
    <col min="6411" max="6411" width="4.453125" style="1" customWidth="1"/>
    <col min="6412" max="6412" width="14.453125" style="1" bestFit="1" customWidth="1"/>
    <col min="6413" max="6413" width="13.453125" style="1" customWidth="1"/>
    <col min="6414" max="6414" width="14.7265625" style="1" bestFit="1" customWidth="1"/>
    <col min="6415" max="6415" width="14.26953125" style="1" bestFit="1" customWidth="1"/>
    <col min="6416" max="6416" width="14.26953125" style="1" customWidth="1"/>
    <col min="6417" max="6417" width="14" style="1" bestFit="1" customWidth="1"/>
    <col min="6418" max="6418" width="11.54296875" style="1" bestFit="1" customWidth="1"/>
    <col min="6419" max="6419" width="13.81640625" style="1" bestFit="1" customWidth="1"/>
    <col min="6420" max="6657" width="11.453125" style="1"/>
    <col min="6658" max="6658" width="20.26953125" style="1" customWidth="1"/>
    <col min="6659" max="6659" width="21.7265625" style="1" customWidth="1"/>
    <col min="6660" max="6660" width="22" style="1" customWidth="1"/>
    <col min="6661" max="6661" width="17.1796875" style="1" customWidth="1"/>
    <col min="6662" max="6662" width="21.453125" style="1" customWidth="1"/>
    <col min="6663" max="6663" width="19.54296875" style="1" customWidth="1"/>
    <col min="6664" max="6664" width="14.1796875" style="1" bestFit="1" customWidth="1"/>
    <col min="6665" max="6665" width="8.453125" style="1" customWidth="1"/>
    <col min="6666" max="6666" width="14.453125" style="1" bestFit="1" customWidth="1"/>
    <col min="6667" max="6667" width="4.453125" style="1" customWidth="1"/>
    <col min="6668" max="6668" width="14.453125" style="1" bestFit="1" customWidth="1"/>
    <col min="6669" max="6669" width="13.453125" style="1" customWidth="1"/>
    <col min="6670" max="6670" width="14.7265625" style="1" bestFit="1" customWidth="1"/>
    <col min="6671" max="6671" width="14.26953125" style="1" bestFit="1" customWidth="1"/>
    <col min="6672" max="6672" width="14.26953125" style="1" customWidth="1"/>
    <col min="6673" max="6673" width="14" style="1" bestFit="1" customWidth="1"/>
    <col min="6674" max="6674" width="11.54296875" style="1" bestFit="1" customWidth="1"/>
    <col min="6675" max="6675" width="13.81640625" style="1" bestFit="1" customWidth="1"/>
    <col min="6676" max="6913" width="11.453125" style="1"/>
    <col min="6914" max="6914" width="20.26953125" style="1" customWidth="1"/>
    <col min="6915" max="6915" width="21.7265625" style="1" customWidth="1"/>
    <col min="6916" max="6916" width="22" style="1" customWidth="1"/>
    <col min="6917" max="6917" width="17.1796875" style="1" customWidth="1"/>
    <col min="6918" max="6918" width="21.453125" style="1" customWidth="1"/>
    <col min="6919" max="6919" width="19.54296875" style="1" customWidth="1"/>
    <col min="6920" max="6920" width="14.1796875" style="1" bestFit="1" customWidth="1"/>
    <col min="6921" max="6921" width="8.453125" style="1" customWidth="1"/>
    <col min="6922" max="6922" width="14.453125" style="1" bestFit="1" customWidth="1"/>
    <col min="6923" max="6923" width="4.453125" style="1" customWidth="1"/>
    <col min="6924" max="6924" width="14.453125" style="1" bestFit="1" customWidth="1"/>
    <col min="6925" max="6925" width="13.453125" style="1" customWidth="1"/>
    <col min="6926" max="6926" width="14.7265625" style="1" bestFit="1" customWidth="1"/>
    <col min="6927" max="6927" width="14.26953125" style="1" bestFit="1" customWidth="1"/>
    <col min="6928" max="6928" width="14.26953125" style="1" customWidth="1"/>
    <col min="6929" max="6929" width="14" style="1" bestFit="1" customWidth="1"/>
    <col min="6930" max="6930" width="11.54296875" style="1" bestFit="1" customWidth="1"/>
    <col min="6931" max="6931" width="13.81640625" style="1" bestFit="1" customWidth="1"/>
    <col min="6932" max="7169" width="11.453125" style="1"/>
    <col min="7170" max="7170" width="20.26953125" style="1" customWidth="1"/>
    <col min="7171" max="7171" width="21.7265625" style="1" customWidth="1"/>
    <col min="7172" max="7172" width="22" style="1" customWidth="1"/>
    <col min="7173" max="7173" width="17.1796875" style="1" customWidth="1"/>
    <col min="7174" max="7174" width="21.453125" style="1" customWidth="1"/>
    <col min="7175" max="7175" width="19.54296875" style="1" customWidth="1"/>
    <col min="7176" max="7176" width="14.1796875" style="1" bestFit="1" customWidth="1"/>
    <col min="7177" max="7177" width="8.453125" style="1" customWidth="1"/>
    <col min="7178" max="7178" width="14.453125" style="1" bestFit="1" customWidth="1"/>
    <col min="7179" max="7179" width="4.453125" style="1" customWidth="1"/>
    <col min="7180" max="7180" width="14.453125" style="1" bestFit="1" customWidth="1"/>
    <col min="7181" max="7181" width="13.453125" style="1" customWidth="1"/>
    <col min="7182" max="7182" width="14.7265625" style="1" bestFit="1" customWidth="1"/>
    <col min="7183" max="7183" width="14.26953125" style="1" bestFit="1" customWidth="1"/>
    <col min="7184" max="7184" width="14.26953125" style="1" customWidth="1"/>
    <col min="7185" max="7185" width="14" style="1" bestFit="1" customWidth="1"/>
    <col min="7186" max="7186" width="11.54296875" style="1" bestFit="1" customWidth="1"/>
    <col min="7187" max="7187" width="13.81640625" style="1" bestFit="1" customWidth="1"/>
    <col min="7188" max="7425" width="11.453125" style="1"/>
    <col min="7426" max="7426" width="20.26953125" style="1" customWidth="1"/>
    <col min="7427" max="7427" width="21.7265625" style="1" customWidth="1"/>
    <col min="7428" max="7428" width="22" style="1" customWidth="1"/>
    <col min="7429" max="7429" width="17.1796875" style="1" customWidth="1"/>
    <col min="7430" max="7430" width="21.453125" style="1" customWidth="1"/>
    <col min="7431" max="7431" width="19.54296875" style="1" customWidth="1"/>
    <col min="7432" max="7432" width="14.1796875" style="1" bestFit="1" customWidth="1"/>
    <col min="7433" max="7433" width="8.453125" style="1" customWidth="1"/>
    <col min="7434" max="7434" width="14.453125" style="1" bestFit="1" customWidth="1"/>
    <col min="7435" max="7435" width="4.453125" style="1" customWidth="1"/>
    <col min="7436" max="7436" width="14.453125" style="1" bestFit="1" customWidth="1"/>
    <col min="7437" max="7437" width="13.453125" style="1" customWidth="1"/>
    <col min="7438" max="7438" width="14.7265625" style="1" bestFit="1" customWidth="1"/>
    <col min="7439" max="7439" width="14.26953125" style="1" bestFit="1" customWidth="1"/>
    <col min="7440" max="7440" width="14.26953125" style="1" customWidth="1"/>
    <col min="7441" max="7441" width="14" style="1" bestFit="1" customWidth="1"/>
    <col min="7442" max="7442" width="11.54296875" style="1" bestFit="1" customWidth="1"/>
    <col min="7443" max="7443" width="13.81640625" style="1" bestFit="1" customWidth="1"/>
    <col min="7444" max="7681" width="11.453125" style="1"/>
    <col min="7682" max="7682" width="20.26953125" style="1" customWidth="1"/>
    <col min="7683" max="7683" width="21.7265625" style="1" customWidth="1"/>
    <col min="7684" max="7684" width="22" style="1" customWidth="1"/>
    <col min="7685" max="7685" width="17.1796875" style="1" customWidth="1"/>
    <col min="7686" max="7686" width="21.453125" style="1" customWidth="1"/>
    <col min="7687" max="7687" width="19.54296875" style="1" customWidth="1"/>
    <col min="7688" max="7688" width="14.1796875" style="1" bestFit="1" customWidth="1"/>
    <col min="7689" max="7689" width="8.453125" style="1" customWidth="1"/>
    <col min="7690" max="7690" width="14.453125" style="1" bestFit="1" customWidth="1"/>
    <col min="7691" max="7691" width="4.453125" style="1" customWidth="1"/>
    <col min="7692" max="7692" width="14.453125" style="1" bestFit="1" customWidth="1"/>
    <col min="7693" max="7693" width="13.453125" style="1" customWidth="1"/>
    <col min="7694" max="7694" width="14.7265625" style="1" bestFit="1" customWidth="1"/>
    <col min="7695" max="7695" width="14.26953125" style="1" bestFit="1" customWidth="1"/>
    <col min="7696" max="7696" width="14.26953125" style="1" customWidth="1"/>
    <col min="7697" max="7697" width="14" style="1" bestFit="1" customWidth="1"/>
    <col min="7698" max="7698" width="11.54296875" style="1" bestFit="1" customWidth="1"/>
    <col min="7699" max="7699" width="13.81640625" style="1" bestFit="1" customWidth="1"/>
    <col min="7700" max="7937" width="11.453125" style="1"/>
    <col min="7938" max="7938" width="20.26953125" style="1" customWidth="1"/>
    <col min="7939" max="7939" width="21.7265625" style="1" customWidth="1"/>
    <col min="7940" max="7940" width="22" style="1" customWidth="1"/>
    <col min="7941" max="7941" width="17.1796875" style="1" customWidth="1"/>
    <col min="7942" max="7942" width="21.453125" style="1" customWidth="1"/>
    <col min="7943" max="7943" width="19.54296875" style="1" customWidth="1"/>
    <col min="7944" max="7944" width="14.1796875" style="1" bestFit="1" customWidth="1"/>
    <col min="7945" max="7945" width="8.453125" style="1" customWidth="1"/>
    <col min="7946" max="7946" width="14.453125" style="1" bestFit="1" customWidth="1"/>
    <col min="7947" max="7947" width="4.453125" style="1" customWidth="1"/>
    <col min="7948" max="7948" width="14.453125" style="1" bestFit="1" customWidth="1"/>
    <col min="7949" max="7949" width="13.453125" style="1" customWidth="1"/>
    <col min="7950" max="7950" width="14.7265625" style="1" bestFit="1" customWidth="1"/>
    <col min="7951" max="7951" width="14.26953125" style="1" bestFit="1" customWidth="1"/>
    <col min="7952" max="7952" width="14.26953125" style="1" customWidth="1"/>
    <col min="7953" max="7953" width="14" style="1" bestFit="1" customWidth="1"/>
    <col min="7954" max="7954" width="11.54296875" style="1" bestFit="1" customWidth="1"/>
    <col min="7955" max="7955" width="13.81640625" style="1" bestFit="1" customWidth="1"/>
    <col min="7956" max="8193" width="11.453125" style="1"/>
    <col min="8194" max="8194" width="20.26953125" style="1" customWidth="1"/>
    <col min="8195" max="8195" width="21.7265625" style="1" customWidth="1"/>
    <col min="8196" max="8196" width="22" style="1" customWidth="1"/>
    <col min="8197" max="8197" width="17.1796875" style="1" customWidth="1"/>
    <col min="8198" max="8198" width="21.453125" style="1" customWidth="1"/>
    <col min="8199" max="8199" width="19.54296875" style="1" customWidth="1"/>
    <col min="8200" max="8200" width="14.1796875" style="1" bestFit="1" customWidth="1"/>
    <col min="8201" max="8201" width="8.453125" style="1" customWidth="1"/>
    <col min="8202" max="8202" width="14.453125" style="1" bestFit="1" customWidth="1"/>
    <col min="8203" max="8203" width="4.453125" style="1" customWidth="1"/>
    <col min="8204" max="8204" width="14.453125" style="1" bestFit="1" customWidth="1"/>
    <col min="8205" max="8205" width="13.453125" style="1" customWidth="1"/>
    <col min="8206" max="8206" width="14.7265625" style="1" bestFit="1" customWidth="1"/>
    <col min="8207" max="8207" width="14.26953125" style="1" bestFit="1" customWidth="1"/>
    <col min="8208" max="8208" width="14.26953125" style="1" customWidth="1"/>
    <col min="8209" max="8209" width="14" style="1" bestFit="1" customWidth="1"/>
    <col min="8210" max="8210" width="11.54296875" style="1" bestFit="1" customWidth="1"/>
    <col min="8211" max="8211" width="13.81640625" style="1" bestFit="1" customWidth="1"/>
    <col min="8212" max="8449" width="11.453125" style="1"/>
    <col min="8450" max="8450" width="20.26953125" style="1" customWidth="1"/>
    <col min="8451" max="8451" width="21.7265625" style="1" customWidth="1"/>
    <col min="8452" max="8452" width="22" style="1" customWidth="1"/>
    <col min="8453" max="8453" width="17.1796875" style="1" customWidth="1"/>
    <col min="8454" max="8454" width="21.453125" style="1" customWidth="1"/>
    <col min="8455" max="8455" width="19.54296875" style="1" customWidth="1"/>
    <col min="8456" max="8456" width="14.1796875" style="1" bestFit="1" customWidth="1"/>
    <col min="8457" max="8457" width="8.453125" style="1" customWidth="1"/>
    <col min="8458" max="8458" width="14.453125" style="1" bestFit="1" customWidth="1"/>
    <col min="8459" max="8459" width="4.453125" style="1" customWidth="1"/>
    <col min="8460" max="8460" width="14.453125" style="1" bestFit="1" customWidth="1"/>
    <col min="8461" max="8461" width="13.453125" style="1" customWidth="1"/>
    <col min="8462" max="8462" width="14.7265625" style="1" bestFit="1" customWidth="1"/>
    <col min="8463" max="8463" width="14.26953125" style="1" bestFit="1" customWidth="1"/>
    <col min="8464" max="8464" width="14.26953125" style="1" customWidth="1"/>
    <col min="8465" max="8465" width="14" style="1" bestFit="1" customWidth="1"/>
    <col min="8466" max="8466" width="11.54296875" style="1" bestFit="1" customWidth="1"/>
    <col min="8467" max="8467" width="13.81640625" style="1" bestFit="1" customWidth="1"/>
    <col min="8468" max="8705" width="11.453125" style="1"/>
    <col min="8706" max="8706" width="20.26953125" style="1" customWidth="1"/>
    <col min="8707" max="8707" width="21.7265625" style="1" customWidth="1"/>
    <col min="8708" max="8708" width="22" style="1" customWidth="1"/>
    <col min="8709" max="8709" width="17.1796875" style="1" customWidth="1"/>
    <col min="8710" max="8710" width="21.453125" style="1" customWidth="1"/>
    <col min="8711" max="8711" width="19.54296875" style="1" customWidth="1"/>
    <col min="8712" max="8712" width="14.1796875" style="1" bestFit="1" customWidth="1"/>
    <col min="8713" max="8713" width="8.453125" style="1" customWidth="1"/>
    <col min="8714" max="8714" width="14.453125" style="1" bestFit="1" customWidth="1"/>
    <col min="8715" max="8715" width="4.453125" style="1" customWidth="1"/>
    <col min="8716" max="8716" width="14.453125" style="1" bestFit="1" customWidth="1"/>
    <col min="8717" max="8717" width="13.453125" style="1" customWidth="1"/>
    <col min="8718" max="8718" width="14.7265625" style="1" bestFit="1" customWidth="1"/>
    <col min="8719" max="8719" width="14.26953125" style="1" bestFit="1" customWidth="1"/>
    <col min="8720" max="8720" width="14.26953125" style="1" customWidth="1"/>
    <col min="8721" max="8721" width="14" style="1" bestFit="1" customWidth="1"/>
    <col min="8722" max="8722" width="11.54296875" style="1" bestFit="1" customWidth="1"/>
    <col min="8723" max="8723" width="13.81640625" style="1" bestFit="1" customWidth="1"/>
    <col min="8724" max="8961" width="11.453125" style="1"/>
    <col min="8962" max="8962" width="20.26953125" style="1" customWidth="1"/>
    <col min="8963" max="8963" width="21.7265625" style="1" customWidth="1"/>
    <col min="8964" max="8964" width="22" style="1" customWidth="1"/>
    <col min="8965" max="8965" width="17.1796875" style="1" customWidth="1"/>
    <col min="8966" max="8966" width="21.453125" style="1" customWidth="1"/>
    <col min="8967" max="8967" width="19.54296875" style="1" customWidth="1"/>
    <col min="8968" max="8968" width="14.1796875" style="1" bestFit="1" customWidth="1"/>
    <col min="8969" max="8969" width="8.453125" style="1" customWidth="1"/>
    <col min="8970" max="8970" width="14.453125" style="1" bestFit="1" customWidth="1"/>
    <col min="8971" max="8971" width="4.453125" style="1" customWidth="1"/>
    <col min="8972" max="8972" width="14.453125" style="1" bestFit="1" customWidth="1"/>
    <col min="8973" max="8973" width="13.453125" style="1" customWidth="1"/>
    <col min="8974" max="8974" width="14.7265625" style="1" bestFit="1" customWidth="1"/>
    <col min="8975" max="8975" width="14.26953125" style="1" bestFit="1" customWidth="1"/>
    <col min="8976" max="8976" width="14.26953125" style="1" customWidth="1"/>
    <col min="8977" max="8977" width="14" style="1" bestFit="1" customWidth="1"/>
    <col min="8978" max="8978" width="11.54296875" style="1" bestFit="1" customWidth="1"/>
    <col min="8979" max="8979" width="13.81640625" style="1" bestFit="1" customWidth="1"/>
    <col min="8980" max="9217" width="11.453125" style="1"/>
    <col min="9218" max="9218" width="20.26953125" style="1" customWidth="1"/>
    <col min="9219" max="9219" width="21.7265625" style="1" customWidth="1"/>
    <col min="9220" max="9220" width="22" style="1" customWidth="1"/>
    <col min="9221" max="9221" width="17.1796875" style="1" customWidth="1"/>
    <col min="9222" max="9222" width="21.453125" style="1" customWidth="1"/>
    <col min="9223" max="9223" width="19.54296875" style="1" customWidth="1"/>
    <col min="9224" max="9224" width="14.1796875" style="1" bestFit="1" customWidth="1"/>
    <col min="9225" max="9225" width="8.453125" style="1" customWidth="1"/>
    <col min="9226" max="9226" width="14.453125" style="1" bestFit="1" customWidth="1"/>
    <col min="9227" max="9227" width="4.453125" style="1" customWidth="1"/>
    <col min="9228" max="9228" width="14.453125" style="1" bestFit="1" customWidth="1"/>
    <col min="9229" max="9229" width="13.453125" style="1" customWidth="1"/>
    <col min="9230" max="9230" width="14.7265625" style="1" bestFit="1" customWidth="1"/>
    <col min="9231" max="9231" width="14.26953125" style="1" bestFit="1" customWidth="1"/>
    <col min="9232" max="9232" width="14.26953125" style="1" customWidth="1"/>
    <col min="9233" max="9233" width="14" style="1" bestFit="1" customWidth="1"/>
    <col min="9234" max="9234" width="11.54296875" style="1" bestFit="1" customWidth="1"/>
    <col min="9235" max="9235" width="13.81640625" style="1" bestFit="1" customWidth="1"/>
    <col min="9236" max="9473" width="11.453125" style="1"/>
    <col min="9474" max="9474" width="20.26953125" style="1" customWidth="1"/>
    <col min="9475" max="9475" width="21.7265625" style="1" customWidth="1"/>
    <col min="9476" max="9476" width="22" style="1" customWidth="1"/>
    <col min="9477" max="9477" width="17.1796875" style="1" customWidth="1"/>
    <col min="9478" max="9478" width="21.453125" style="1" customWidth="1"/>
    <col min="9479" max="9479" width="19.54296875" style="1" customWidth="1"/>
    <col min="9480" max="9480" width="14.1796875" style="1" bestFit="1" customWidth="1"/>
    <col min="9481" max="9481" width="8.453125" style="1" customWidth="1"/>
    <col min="9482" max="9482" width="14.453125" style="1" bestFit="1" customWidth="1"/>
    <col min="9483" max="9483" width="4.453125" style="1" customWidth="1"/>
    <col min="9484" max="9484" width="14.453125" style="1" bestFit="1" customWidth="1"/>
    <col min="9485" max="9485" width="13.453125" style="1" customWidth="1"/>
    <col min="9486" max="9486" width="14.7265625" style="1" bestFit="1" customWidth="1"/>
    <col min="9487" max="9487" width="14.26953125" style="1" bestFit="1" customWidth="1"/>
    <col min="9488" max="9488" width="14.26953125" style="1" customWidth="1"/>
    <col min="9489" max="9489" width="14" style="1" bestFit="1" customWidth="1"/>
    <col min="9490" max="9490" width="11.54296875" style="1" bestFit="1" customWidth="1"/>
    <col min="9491" max="9491" width="13.81640625" style="1" bestFit="1" customWidth="1"/>
    <col min="9492" max="9729" width="11.453125" style="1"/>
    <col min="9730" max="9730" width="20.26953125" style="1" customWidth="1"/>
    <col min="9731" max="9731" width="21.7265625" style="1" customWidth="1"/>
    <col min="9732" max="9732" width="22" style="1" customWidth="1"/>
    <col min="9733" max="9733" width="17.1796875" style="1" customWidth="1"/>
    <col min="9734" max="9734" width="21.453125" style="1" customWidth="1"/>
    <col min="9735" max="9735" width="19.54296875" style="1" customWidth="1"/>
    <col min="9736" max="9736" width="14.1796875" style="1" bestFit="1" customWidth="1"/>
    <col min="9737" max="9737" width="8.453125" style="1" customWidth="1"/>
    <col min="9738" max="9738" width="14.453125" style="1" bestFit="1" customWidth="1"/>
    <col min="9739" max="9739" width="4.453125" style="1" customWidth="1"/>
    <col min="9740" max="9740" width="14.453125" style="1" bestFit="1" customWidth="1"/>
    <col min="9741" max="9741" width="13.453125" style="1" customWidth="1"/>
    <col min="9742" max="9742" width="14.7265625" style="1" bestFit="1" customWidth="1"/>
    <col min="9743" max="9743" width="14.26953125" style="1" bestFit="1" customWidth="1"/>
    <col min="9744" max="9744" width="14.26953125" style="1" customWidth="1"/>
    <col min="9745" max="9745" width="14" style="1" bestFit="1" customWidth="1"/>
    <col min="9746" max="9746" width="11.54296875" style="1" bestFit="1" customWidth="1"/>
    <col min="9747" max="9747" width="13.81640625" style="1" bestFit="1" customWidth="1"/>
    <col min="9748" max="9985" width="11.453125" style="1"/>
    <col min="9986" max="9986" width="20.26953125" style="1" customWidth="1"/>
    <col min="9987" max="9987" width="21.7265625" style="1" customWidth="1"/>
    <col min="9988" max="9988" width="22" style="1" customWidth="1"/>
    <col min="9989" max="9989" width="17.1796875" style="1" customWidth="1"/>
    <col min="9990" max="9990" width="21.453125" style="1" customWidth="1"/>
    <col min="9991" max="9991" width="19.54296875" style="1" customWidth="1"/>
    <col min="9992" max="9992" width="14.1796875" style="1" bestFit="1" customWidth="1"/>
    <col min="9993" max="9993" width="8.453125" style="1" customWidth="1"/>
    <col min="9994" max="9994" width="14.453125" style="1" bestFit="1" customWidth="1"/>
    <col min="9995" max="9995" width="4.453125" style="1" customWidth="1"/>
    <col min="9996" max="9996" width="14.453125" style="1" bestFit="1" customWidth="1"/>
    <col min="9997" max="9997" width="13.453125" style="1" customWidth="1"/>
    <col min="9998" max="9998" width="14.7265625" style="1" bestFit="1" customWidth="1"/>
    <col min="9999" max="9999" width="14.26953125" style="1" bestFit="1" customWidth="1"/>
    <col min="10000" max="10000" width="14.26953125" style="1" customWidth="1"/>
    <col min="10001" max="10001" width="14" style="1" bestFit="1" customWidth="1"/>
    <col min="10002" max="10002" width="11.54296875" style="1" bestFit="1" customWidth="1"/>
    <col min="10003" max="10003" width="13.81640625" style="1" bestFit="1" customWidth="1"/>
    <col min="10004" max="10241" width="11.453125" style="1"/>
    <col min="10242" max="10242" width="20.26953125" style="1" customWidth="1"/>
    <col min="10243" max="10243" width="21.7265625" style="1" customWidth="1"/>
    <col min="10244" max="10244" width="22" style="1" customWidth="1"/>
    <col min="10245" max="10245" width="17.1796875" style="1" customWidth="1"/>
    <col min="10246" max="10246" width="21.453125" style="1" customWidth="1"/>
    <col min="10247" max="10247" width="19.54296875" style="1" customWidth="1"/>
    <col min="10248" max="10248" width="14.1796875" style="1" bestFit="1" customWidth="1"/>
    <col min="10249" max="10249" width="8.453125" style="1" customWidth="1"/>
    <col min="10250" max="10250" width="14.453125" style="1" bestFit="1" customWidth="1"/>
    <col min="10251" max="10251" width="4.453125" style="1" customWidth="1"/>
    <col min="10252" max="10252" width="14.453125" style="1" bestFit="1" customWidth="1"/>
    <col min="10253" max="10253" width="13.453125" style="1" customWidth="1"/>
    <col min="10254" max="10254" width="14.7265625" style="1" bestFit="1" customWidth="1"/>
    <col min="10255" max="10255" width="14.26953125" style="1" bestFit="1" customWidth="1"/>
    <col min="10256" max="10256" width="14.26953125" style="1" customWidth="1"/>
    <col min="10257" max="10257" width="14" style="1" bestFit="1" customWidth="1"/>
    <col min="10258" max="10258" width="11.54296875" style="1" bestFit="1" customWidth="1"/>
    <col min="10259" max="10259" width="13.81640625" style="1" bestFit="1" customWidth="1"/>
    <col min="10260" max="10497" width="11.453125" style="1"/>
    <col min="10498" max="10498" width="20.26953125" style="1" customWidth="1"/>
    <col min="10499" max="10499" width="21.7265625" style="1" customWidth="1"/>
    <col min="10500" max="10500" width="22" style="1" customWidth="1"/>
    <col min="10501" max="10501" width="17.1796875" style="1" customWidth="1"/>
    <col min="10502" max="10502" width="21.453125" style="1" customWidth="1"/>
    <col min="10503" max="10503" width="19.54296875" style="1" customWidth="1"/>
    <col min="10504" max="10504" width="14.1796875" style="1" bestFit="1" customWidth="1"/>
    <col min="10505" max="10505" width="8.453125" style="1" customWidth="1"/>
    <col min="10506" max="10506" width="14.453125" style="1" bestFit="1" customWidth="1"/>
    <col min="10507" max="10507" width="4.453125" style="1" customWidth="1"/>
    <col min="10508" max="10508" width="14.453125" style="1" bestFit="1" customWidth="1"/>
    <col min="10509" max="10509" width="13.453125" style="1" customWidth="1"/>
    <col min="10510" max="10510" width="14.7265625" style="1" bestFit="1" customWidth="1"/>
    <col min="10511" max="10511" width="14.26953125" style="1" bestFit="1" customWidth="1"/>
    <col min="10512" max="10512" width="14.26953125" style="1" customWidth="1"/>
    <col min="10513" max="10513" width="14" style="1" bestFit="1" customWidth="1"/>
    <col min="10514" max="10514" width="11.54296875" style="1" bestFit="1" customWidth="1"/>
    <col min="10515" max="10515" width="13.81640625" style="1" bestFit="1" customWidth="1"/>
    <col min="10516" max="10753" width="11.453125" style="1"/>
    <col min="10754" max="10754" width="20.26953125" style="1" customWidth="1"/>
    <col min="10755" max="10755" width="21.7265625" style="1" customWidth="1"/>
    <col min="10756" max="10756" width="22" style="1" customWidth="1"/>
    <col min="10757" max="10757" width="17.1796875" style="1" customWidth="1"/>
    <col min="10758" max="10758" width="21.453125" style="1" customWidth="1"/>
    <col min="10759" max="10759" width="19.54296875" style="1" customWidth="1"/>
    <col min="10760" max="10760" width="14.1796875" style="1" bestFit="1" customWidth="1"/>
    <col min="10761" max="10761" width="8.453125" style="1" customWidth="1"/>
    <col min="10762" max="10762" width="14.453125" style="1" bestFit="1" customWidth="1"/>
    <col min="10763" max="10763" width="4.453125" style="1" customWidth="1"/>
    <col min="10764" max="10764" width="14.453125" style="1" bestFit="1" customWidth="1"/>
    <col min="10765" max="10765" width="13.453125" style="1" customWidth="1"/>
    <col min="10766" max="10766" width="14.7265625" style="1" bestFit="1" customWidth="1"/>
    <col min="10767" max="10767" width="14.26953125" style="1" bestFit="1" customWidth="1"/>
    <col min="10768" max="10768" width="14.26953125" style="1" customWidth="1"/>
    <col min="10769" max="10769" width="14" style="1" bestFit="1" customWidth="1"/>
    <col min="10770" max="10770" width="11.54296875" style="1" bestFit="1" customWidth="1"/>
    <col min="10771" max="10771" width="13.81640625" style="1" bestFit="1" customWidth="1"/>
    <col min="10772" max="11009" width="11.453125" style="1"/>
    <col min="11010" max="11010" width="20.26953125" style="1" customWidth="1"/>
    <col min="11011" max="11011" width="21.7265625" style="1" customWidth="1"/>
    <col min="11012" max="11012" width="22" style="1" customWidth="1"/>
    <col min="11013" max="11013" width="17.1796875" style="1" customWidth="1"/>
    <col min="11014" max="11014" width="21.453125" style="1" customWidth="1"/>
    <col min="11015" max="11015" width="19.54296875" style="1" customWidth="1"/>
    <col min="11016" max="11016" width="14.1796875" style="1" bestFit="1" customWidth="1"/>
    <col min="11017" max="11017" width="8.453125" style="1" customWidth="1"/>
    <col min="11018" max="11018" width="14.453125" style="1" bestFit="1" customWidth="1"/>
    <col min="11019" max="11019" width="4.453125" style="1" customWidth="1"/>
    <col min="11020" max="11020" width="14.453125" style="1" bestFit="1" customWidth="1"/>
    <col min="11021" max="11021" width="13.453125" style="1" customWidth="1"/>
    <col min="11022" max="11022" width="14.7265625" style="1" bestFit="1" customWidth="1"/>
    <col min="11023" max="11023" width="14.26953125" style="1" bestFit="1" customWidth="1"/>
    <col min="11024" max="11024" width="14.26953125" style="1" customWidth="1"/>
    <col min="11025" max="11025" width="14" style="1" bestFit="1" customWidth="1"/>
    <col min="11026" max="11026" width="11.54296875" style="1" bestFit="1" customWidth="1"/>
    <col min="11027" max="11027" width="13.81640625" style="1" bestFit="1" customWidth="1"/>
    <col min="11028" max="11265" width="11.453125" style="1"/>
    <col min="11266" max="11266" width="20.26953125" style="1" customWidth="1"/>
    <col min="11267" max="11267" width="21.7265625" style="1" customWidth="1"/>
    <col min="11268" max="11268" width="22" style="1" customWidth="1"/>
    <col min="11269" max="11269" width="17.1796875" style="1" customWidth="1"/>
    <col min="11270" max="11270" width="21.453125" style="1" customWidth="1"/>
    <col min="11271" max="11271" width="19.54296875" style="1" customWidth="1"/>
    <col min="11272" max="11272" width="14.1796875" style="1" bestFit="1" customWidth="1"/>
    <col min="11273" max="11273" width="8.453125" style="1" customWidth="1"/>
    <col min="11274" max="11274" width="14.453125" style="1" bestFit="1" customWidth="1"/>
    <col min="11275" max="11275" width="4.453125" style="1" customWidth="1"/>
    <col min="11276" max="11276" width="14.453125" style="1" bestFit="1" customWidth="1"/>
    <col min="11277" max="11277" width="13.453125" style="1" customWidth="1"/>
    <col min="11278" max="11278" width="14.7265625" style="1" bestFit="1" customWidth="1"/>
    <col min="11279" max="11279" width="14.26953125" style="1" bestFit="1" customWidth="1"/>
    <col min="11280" max="11280" width="14.26953125" style="1" customWidth="1"/>
    <col min="11281" max="11281" width="14" style="1" bestFit="1" customWidth="1"/>
    <col min="11282" max="11282" width="11.54296875" style="1" bestFit="1" customWidth="1"/>
    <col min="11283" max="11283" width="13.81640625" style="1" bestFit="1" customWidth="1"/>
    <col min="11284" max="11521" width="11.453125" style="1"/>
    <col min="11522" max="11522" width="20.26953125" style="1" customWidth="1"/>
    <col min="11523" max="11523" width="21.7265625" style="1" customWidth="1"/>
    <col min="11524" max="11524" width="22" style="1" customWidth="1"/>
    <col min="11525" max="11525" width="17.1796875" style="1" customWidth="1"/>
    <col min="11526" max="11526" width="21.453125" style="1" customWidth="1"/>
    <col min="11527" max="11527" width="19.54296875" style="1" customWidth="1"/>
    <col min="11528" max="11528" width="14.1796875" style="1" bestFit="1" customWidth="1"/>
    <col min="11529" max="11529" width="8.453125" style="1" customWidth="1"/>
    <col min="11530" max="11530" width="14.453125" style="1" bestFit="1" customWidth="1"/>
    <col min="11531" max="11531" width="4.453125" style="1" customWidth="1"/>
    <col min="11532" max="11532" width="14.453125" style="1" bestFit="1" customWidth="1"/>
    <col min="11533" max="11533" width="13.453125" style="1" customWidth="1"/>
    <col min="11534" max="11534" width="14.7265625" style="1" bestFit="1" customWidth="1"/>
    <col min="11535" max="11535" width="14.26953125" style="1" bestFit="1" customWidth="1"/>
    <col min="11536" max="11536" width="14.26953125" style="1" customWidth="1"/>
    <col min="11537" max="11537" width="14" style="1" bestFit="1" customWidth="1"/>
    <col min="11538" max="11538" width="11.54296875" style="1" bestFit="1" customWidth="1"/>
    <col min="11539" max="11539" width="13.81640625" style="1" bestFit="1" customWidth="1"/>
    <col min="11540" max="11777" width="11.453125" style="1"/>
    <col min="11778" max="11778" width="20.26953125" style="1" customWidth="1"/>
    <col min="11779" max="11779" width="21.7265625" style="1" customWidth="1"/>
    <col min="11780" max="11780" width="22" style="1" customWidth="1"/>
    <col min="11781" max="11781" width="17.1796875" style="1" customWidth="1"/>
    <col min="11782" max="11782" width="21.453125" style="1" customWidth="1"/>
    <col min="11783" max="11783" width="19.54296875" style="1" customWidth="1"/>
    <col min="11784" max="11784" width="14.1796875" style="1" bestFit="1" customWidth="1"/>
    <col min="11785" max="11785" width="8.453125" style="1" customWidth="1"/>
    <col min="11786" max="11786" width="14.453125" style="1" bestFit="1" customWidth="1"/>
    <col min="11787" max="11787" width="4.453125" style="1" customWidth="1"/>
    <col min="11788" max="11788" width="14.453125" style="1" bestFit="1" customWidth="1"/>
    <col min="11789" max="11789" width="13.453125" style="1" customWidth="1"/>
    <col min="11790" max="11790" width="14.7265625" style="1" bestFit="1" customWidth="1"/>
    <col min="11791" max="11791" width="14.26953125" style="1" bestFit="1" customWidth="1"/>
    <col min="11792" max="11792" width="14.26953125" style="1" customWidth="1"/>
    <col min="11793" max="11793" width="14" style="1" bestFit="1" customWidth="1"/>
    <col min="11794" max="11794" width="11.54296875" style="1" bestFit="1" customWidth="1"/>
    <col min="11795" max="11795" width="13.81640625" style="1" bestFit="1" customWidth="1"/>
    <col min="11796" max="12033" width="11.453125" style="1"/>
    <col min="12034" max="12034" width="20.26953125" style="1" customWidth="1"/>
    <col min="12035" max="12035" width="21.7265625" style="1" customWidth="1"/>
    <col min="12036" max="12036" width="22" style="1" customWidth="1"/>
    <col min="12037" max="12037" width="17.1796875" style="1" customWidth="1"/>
    <col min="12038" max="12038" width="21.453125" style="1" customWidth="1"/>
    <col min="12039" max="12039" width="19.54296875" style="1" customWidth="1"/>
    <col min="12040" max="12040" width="14.1796875" style="1" bestFit="1" customWidth="1"/>
    <col min="12041" max="12041" width="8.453125" style="1" customWidth="1"/>
    <col min="12042" max="12042" width="14.453125" style="1" bestFit="1" customWidth="1"/>
    <col min="12043" max="12043" width="4.453125" style="1" customWidth="1"/>
    <col min="12044" max="12044" width="14.453125" style="1" bestFit="1" customWidth="1"/>
    <col min="12045" max="12045" width="13.453125" style="1" customWidth="1"/>
    <col min="12046" max="12046" width="14.7265625" style="1" bestFit="1" customWidth="1"/>
    <col min="12047" max="12047" width="14.26953125" style="1" bestFit="1" customWidth="1"/>
    <col min="12048" max="12048" width="14.26953125" style="1" customWidth="1"/>
    <col min="12049" max="12049" width="14" style="1" bestFit="1" customWidth="1"/>
    <col min="12050" max="12050" width="11.54296875" style="1" bestFit="1" customWidth="1"/>
    <col min="12051" max="12051" width="13.81640625" style="1" bestFit="1" customWidth="1"/>
    <col min="12052" max="12289" width="11.453125" style="1"/>
    <col min="12290" max="12290" width="20.26953125" style="1" customWidth="1"/>
    <col min="12291" max="12291" width="21.7265625" style="1" customWidth="1"/>
    <col min="12292" max="12292" width="22" style="1" customWidth="1"/>
    <col min="12293" max="12293" width="17.1796875" style="1" customWidth="1"/>
    <col min="12294" max="12294" width="21.453125" style="1" customWidth="1"/>
    <col min="12295" max="12295" width="19.54296875" style="1" customWidth="1"/>
    <col min="12296" max="12296" width="14.1796875" style="1" bestFit="1" customWidth="1"/>
    <col min="12297" max="12297" width="8.453125" style="1" customWidth="1"/>
    <col min="12298" max="12298" width="14.453125" style="1" bestFit="1" customWidth="1"/>
    <col min="12299" max="12299" width="4.453125" style="1" customWidth="1"/>
    <col min="12300" max="12300" width="14.453125" style="1" bestFit="1" customWidth="1"/>
    <col min="12301" max="12301" width="13.453125" style="1" customWidth="1"/>
    <col min="12302" max="12302" width="14.7265625" style="1" bestFit="1" customWidth="1"/>
    <col min="12303" max="12303" width="14.26953125" style="1" bestFit="1" customWidth="1"/>
    <col min="12304" max="12304" width="14.26953125" style="1" customWidth="1"/>
    <col min="12305" max="12305" width="14" style="1" bestFit="1" customWidth="1"/>
    <col min="12306" max="12306" width="11.54296875" style="1" bestFit="1" customWidth="1"/>
    <col min="12307" max="12307" width="13.81640625" style="1" bestFit="1" customWidth="1"/>
    <col min="12308" max="12545" width="11.453125" style="1"/>
    <col min="12546" max="12546" width="20.26953125" style="1" customWidth="1"/>
    <col min="12547" max="12547" width="21.7265625" style="1" customWidth="1"/>
    <col min="12548" max="12548" width="22" style="1" customWidth="1"/>
    <col min="12549" max="12549" width="17.1796875" style="1" customWidth="1"/>
    <col min="12550" max="12550" width="21.453125" style="1" customWidth="1"/>
    <col min="12551" max="12551" width="19.54296875" style="1" customWidth="1"/>
    <col min="12552" max="12552" width="14.1796875" style="1" bestFit="1" customWidth="1"/>
    <col min="12553" max="12553" width="8.453125" style="1" customWidth="1"/>
    <col min="12554" max="12554" width="14.453125" style="1" bestFit="1" customWidth="1"/>
    <col min="12555" max="12555" width="4.453125" style="1" customWidth="1"/>
    <col min="12556" max="12556" width="14.453125" style="1" bestFit="1" customWidth="1"/>
    <col min="12557" max="12557" width="13.453125" style="1" customWidth="1"/>
    <col min="12558" max="12558" width="14.7265625" style="1" bestFit="1" customWidth="1"/>
    <col min="12559" max="12559" width="14.26953125" style="1" bestFit="1" customWidth="1"/>
    <col min="12560" max="12560" width="14.26953125" style="1" customWidth="1"/>
    <col min="12561" max="12561" width="14" style="1" bestFit="1" customWidth="1"/>
    <col min="12562" max="12562" width="11.54296875" style="1" bestFit="1" customWidth="1"/>
    <col min="12563" max="12563" width="13.81640625" style="1" bestFit="1" customWidth="1"/>
    <col min="12564" max="12801" width="11.453125" style="1"/>
    <col min="12802" max="12802" width="20.26953125" style="1" customWidth="1"/>
    <col min="12803" max="12803" width="21.7265625" style="1" customWidth="1"/>
    <col min="12804" max="12804" width="22" style="1" customWidth="1"/>
    <col min="12805" max="12805" width="17.1796875" style="1" customWidth="1"/>
    <col min="12806" max="12806" width="21.453125" style="1" customWidth="1"/>
    <col min="12807" max="12807" width="19.54296875" style="1" customWidth="1"/>
    <col min="12808" max="12808" width="14.1796875" style="1" bestFit="1" customWidth="1"/>
    <col min="12809" max="12809" width="8.453125" style="1" customWidth="1"/>
    <col min="12810" max="12810" width="14.453125" style="1" bestFit="1" customWidth="1"/>
    <col min="12811" max="12811" width="4.453125" style="1" customWidth="1"/>
    <col min="12812" max="12812" width="14.453125" style="1" bestFit="1" customWidth="1"/>
    <col min="12813" max="12813" width="13.453125" style="1" customWidth="1"/>
    <col min="12814" max="12814" width="14.7265625" style="1" bestFit="1" customWidth="1"/>
    <col min="12815" max="12815" width="14.26953125" style="1" bestFit="1" customWidth="1"/>
    <col min="12816" max="12816" width="14.26953125" style="1" customWidth="1"/>
    <col min="12817" max="12817" width="14" style="1" bestFit="1" customWidth="1"/>
    <col min="12818" max="12818" width="11.54296875" style="1" bestFit="1" customWidth="1"/>
    <col min="12819" max="12819" width="13.81640625" style="1" bestFit="1" customWidth="1"/>
    <col min="12820" max="13057" width="11.453125" style="1"/>
    <col min="13058" max="13058" width="20.26953125" style="1" customWidth="1"/>
    <col min="13059" max="13059" width="21.7265625" style="1" customWidth="1"/>
    <col min="13060" max="13060" width="22" style="1" customWidth="1"/>
    <col min="13061" max="13061" width="17.1796875" style="1" customWidth="1"/>
    <col min="13062" max="13062" width="21.453125" style="1" customWidth="1"/>
    <col min="13063" max="13063" width="19.54296875" style="1" customWidth="1"/>
    <col min="13064" max="13064" width="14.1796875" style="1" bestFit="1" customWidth="1"/>
    <col min="13065" max="13065" width="8.453125" style="1" customWidth="1"/>
    <col min="13066" max="13066" width="14.453125" style="1" bestFit="1" customWidth="1"/>
    <col min="13067" max="13067" width="4.453125" style="1" customWidth="1"/>
    <col min="13068" max="13068" width="14.453125" style="1" bestFit="1" customWidth="1"/>
    <col min="13069" max="13069" width="13.453125" style="1" customWidth="1"/>
    <col min="13070" max="13070" width="14.7265625" style="1" bestFit="1" customWidth="1"/>
    <col min="13071" max="13071" width="14.26953125" style="1" bestFit="1" customWidth="1"/>
    <col min="13072" max="13072" width="14.26953125" style="1" customWidth="1"/>
    <col min="13073" max="13073" width="14" style="1" bestFit="1" customWidth="1"/>
    <col min="13074" max="13074" width="11.54296875" style="1" bestFit="1" customWidth="1"/>
    <col min="13075" max="13075" width="13.81640625" style="1" bestFit="1" customWidth="1"/>
    <col min="13076" max="13313" width="11.453125" style="1"/>
    <col min="13314" max="13314" width="20.26953125" style="1" customWidth="1"/>
    <col min="13315" max="13315" width="21.7265625" style="1" customWidth="1"/>
    <col min="13316" max="13316" width="22" style="1" customWidth="1"/>
    <col min="13317" max="13317" width="17.1796875" style="1" customWidth="1"/>
    <col min="13318" max="13318" width="21.453125" style="1" customWidth="1"/>
    <col min="13319" max="13319" width="19.54296875" style="1" customWidth="1"/>
    <col min="13320" max="13320" width="14.1796875" style="1" bestFit="1" customWidth="1"/>
    <col min="13321" max="13321" width="8.453125" style="1" customWidth="1"/>
    <col min="13322" max="13322" width="14.453125" style="1" bestFit="1" customWidth="1"/>
    <col min="13323" max="13323" width="4.453125" style="1" customWidth="1"/>
    <col min="13324" max="13324" width="14.453125" style="1" bestFit="1" customWidth="1"/>
    <col min="13325" max="13325" width="13.453125" style="1" customWidth="1"/>
    <col min="13326" max="13326" width="14.7265625" style="1" bestFit="1" customWidth="1"/>
    <col min="13327" max="13327" width="14.26953125" style="1" bestFit="1" customWidth="1"/>
    <col min="13328" max="13328" width="14.26953125" style="1" customWidth="1"/>
    <col min="13329" max="13329" width="14" style="1" bestFit="1" customWidth="1"/>
    <col min="13330" max="13330" width="11.54296875" style="1" bestFit="1" customWidth="1"/>
    <col min="13331" max="13331" width="13.81640625" style="1" bestFit="1" customWidth="1"/>
    <col min="13332" max="13569" width="11.453125" style="1"/>
    <col min="13570" max="13570" width="20.26953125" style="1" customWidth="1"/>
    <col min="13571" max="13571" width="21.7265625" style="1" customWidth="1"/>
    <col min="13572" max="13572" width="22" style="1" customWidth="1"/>
    <col min="13573" max="13573" width="17.1796875" style="1" customWidth="1"/>
    <col min="13574" max="13574" width="21.453125" style="1" customWidth="1"/>
    <col min="13575" max="13575" width="19.54296875" style="1" customWidth="1"/>
    <col min="13576" max="13576" width="14.1796875" style="1" bestFit="1" customWidth="1"/>
    <col min="13577" max="13577" width="8.453125" style="1" customWidth="1"/>
    <col min="13578" max="13578" width="14.453125" style="1" bestFit="1" customWidth="1"/>
    <col min="13579" max="13579" width="4.453125" style="1" customWidth="1"/>
    <col min="13580" max="13580" width="14.453125" style="1" bestFit="1" customWidth="1"/>
    <col min="13581" max="13581" width="13.453125" style="1" customWidth="1"/>
    <col min="13582" max="13582" width="14.7265625" style="1" bestFit="1" customWidth="1"/>
    <col min="13583" max="13583" width="14.26953125" style="1" bestFit="1" customWidth="1"/>
    <col min="13584" max="13584" width="14.26953125" style="1" customWidth="1"/>
    <col min="13585" max="13585" width="14" style="1" bestFit="1" customWidth="1"/>
    <col min="13586" max="13586" width="11.54296875" style="1" bestFit="1" customWidth="1"/>
    <col min="13587" max="13587" width="13.81640625" style="1" bestFit="1" customWidth="1"/>
    <col min="13588" max="13825" width="11.453125" style="1"/>
    <col min="13826" max="13826" width="20.26953125" style="1" customWidth="1"/>
    <col min="13827" max="13827" width="21.7265625" style="1" customWidth="1"/>
    <col min="13828" max="13828" width="22" style="1" customWidth="1"/>
    <col min="13829" max="13829" width="17.1796875" style="1" customWidth="1"/>
    <col min="13830" max="13830" width="21.453125" style="1" customWidth="1"/>
    <col min="13831" max="13831" width="19.54296875" style="1" customWidth="1"/>
    <col min="13832" max="13832" width="14.1796875" style="1" bestFit="1" customWidth="1"/>
    <col min="13833" max="13833" width="8.453125" style="1" customWidth="1"/>
    <col min="13834" max="13834" width="14.453125" style="1" bestFit="1" customWidth="1"/>
    <col min="13835" max="13835" width="4.453125" style="1" customWidth="1"/>
    <col min="13836" max="13836" width="14.453125" style="1" bestFit="1" customWidth="1"/>
    <col min="13837" max="13837" width="13.453125" style="1" customWidth="1"/>
    <col min="13838" max="13838" width="14.7265625" style="1" bestFit="1" customWidth="1"/>
    <col min="13839" max="13839" width="14.26953125" style="1" bestFit="1" customWidth="1"/>
    <col min="13840" max="13840" width="14.26953125" style="1" customWidth="1"/>
    <col min="13841" max="13841" width="14" style="1" bestFit="1" customWidth="1"/>
    <col min="13842" max="13842" width="11.54296875" style="1" bestFit="1" customWidth="1"/>
    <col min="13843" max="13843" width="13.81640625" style="1" bestFit="1" customWidth="1"/>
    <col min="13844" max="14081" width="11.453125" style="1"/>
    <col min="14082" max="14082" width="20.26953125" style="1" customWidth="1"/>
    <col min="14083" max="14083" width="21.7265625" style="1" customWidth="1"/>
    <col min="14084" max="14084" width="22" style="1" customWidth="1"/>
    <col min="14085" max="14085" width="17.1796875" style="1" customWidth="1"/>
    <col min="14086" max="14086" width="21.453125" style="1" customWidth="1"/>
    <col min="14087" max="14087" width="19.54296875" style="1" customWidth="1"/>
    <col min="14088" max="14088" width="14.1796875" style="1" bestFit="1" customWidth="1"/>
    <col min="14089" max="14089" width="8.453125" style="1" customWidth="1"/>
    <col min="14090" max="14090" width="14.453125" style="1" bestFit="1" customWidth="1"/>
    <col min="14091" max="14091" width="4.453125" style="1" customWidth="1"/>
    <col min="14092" max="14092" width="14.453125" style="1" bestFit="1" customWidth="1"/>
    <col min="14093" max="14093" width="13.453125" style="1" customWidth="1"/>
    <col min="14094" max="14094" width="14.7265625" style="1" bestFit="1" customWidth="1"/>
    <col min="14095" max="14095" width="14.26953125" style="1" bestFit="1" customWidth="1"/>
    <col min="14096" max="14096" width="14.26953125" style="1" customWidth="1"/>
    <col min="14097" max="14097" width="14" style="1" bestFit="1" customWidth="1"/>
    <col min="14098" max="14098" width="11.54296875" style="1" bestFit="1" customWidth="1"/>
    <col min="14099" max="14099" width="13.81640625" style="1" bestFit="1" customWidth="1"/>
    <col min="14100" max="14337" width="11.453125" style="1"/>
    <col min="14338" max="14338" width="20.26953125" style="1" customWidth="1"/>
    <col min="14339" max="14339" width="21.7265625" style="1" customWidth="1"/>
    <col min="14340" max="14340" width="22" style="1" customWidth="1"/>
    <col min="14341" max="14341" width="17.1796875" style="1" customWidth="1"/>
    <col min="14342" max="14342" width="21.453125" style="1" customWidth="1"/>
    <col min="14343" max="14343" width="19.54296875" style="1" customWidth="1"/>
    <col min="14344" max="14344" width="14.1796875" style="1" bestFit="1" customWidth="1"/>
    <col min="14345" max="14345" width="8.453125" style="1" customWidth="1"/>
    <col min="14346" max="14346" width="14.453125" style="1" bestFit="1" customWidth="1"/>
    <col min="14347" max="14347" width="4.453125" style="1" customWidth="1"/>
    <col min="14348" max="14348" width="14.453125" style="1" bestFit="1" customWidth="1"/>
    <col min="14349" max="14349" width="13.453125" style="1" customWidth="1"/>
    <col min="14350" max="14350" width="14.7265625" style="1" bestFit="1" customWidth="1"/>
    <col min="14351" max="14351" width="14.26953125" style="1" bestFit="1" customWidth="1"/>
    <col min="14352" max="14352" width="14.26953125" style="1" customWidth="1"/>
    <col min="14353" max="14353" width="14" style="1" bestFit="1" customWidth="1"/>
    <col min="14354" max="14354" width="11.54296875" style="1" bestFit="1" customWidth="1"/>
    <col min="14355" max="14355" width="13.81640625" style="1" bestFit="1" customWidth="1"/>
    <col min="14356" max="14593" width="11.453125" style="1"/>
    <col min="14594" max="14594" width="20.26953125" style="1" customWidth="1"/>
    <col min="14595" max="14595" width="21.7265625" style="1" customWidth="1"/>
    <col min="14596" max="14596" width="22" style="1" customWidth="1"/>
    <col min="14597" max="14597" width="17.1796875" style="1" customWidth="1"/>
    <col min="14598" max="14598" width="21.453125" style="1" customWidth="1"/>
    <col min="14599" max="14599" width="19.54296875" style="1" customWidth="1"/>
    <col min="14600" max="14600" width="14.1796875" style="1" bestFit="1" customWidth="1"/>
    <col min="14601" max="14601" width="8.453125" style="1" customWidth="1"/>
    <col min="14602" max="14602" width="14.453125" style="1" bestFit="1" customWidth="1"/>
    <col min="14603" max="14603" width="4.453125" style="1" customWidth="1"/>
    <col min="14604" max="14604" width="14.453125" style="1" bestFit="1" customWidth="1"/>
    <col min="14605" max="14605" width="13.453125" style="1" customWidth="1"/>
    <col min="14606" max="14606" width="14.7265625" style="1" bestFit="1" customWidth="1"/>
    <col min="14607" max="14607" width="14.26953125" style="1" bestFit="1" customWidth="1"/>
    <col min="14608" max="14608" width="14.26953125" style="1" customWidth="1"/>
    <col min="14609" max="14609" width="14" style="1" bestFit="1" customWidth="1"/>
    <col min="14610" max="14610" width="11.54296875" style="1" bestFit="1" customWidth="1"/>
    <col min="14611" max="14611" width="13.81640625" style="1" bestFit="1" customWidth="1"/>
    <col min="14612" max="14849" width="11.453125" style="1"/>
    <col min="14850" max="14850" width="20.26953125" style="1" customWidth="1"/>
    <col min="14851" max="14851" width="21.7265625" style="1" customWidth="1"/>
    <col min="14852" max="14852" width="22" style="1" customWidth="1"/>
    <col min="14853" max="14853" width="17.1796875" style="1" customWidth="1"/>
    <col min="14854" max="14854" width="21.453125" style="1" customWidth="1"/>
    <col min="14855" max="14855" width="19.54296875" style="1" customWidth="1"/>
    <col min="14856" max="14856" width="14.1796875" style="1" bestFit="1" customWidth="1"/>
    <col min="14857" max="14857" width="8.453125" style="1" customWidth="1"/>
    <col min="14858" max="14858" width="14.453125" style="1" bestFit="1" customWidth="1"/>
    <col min="14859" max="14859" width="4.453125" style="1" customWidth="1"/>
    <col min="14860" max="14860" width="14.453125" style="1" bestFit="1" customWidth="1"/>
    <col min="14861" max="14861" width="13.453125" style="1" customWidth="1"/>
    <col min="14862" max="14862" width="14.7265625" style="1" bestFit="1" customWidth="1"/>
    <col min="14863" max="14863" width="14.26953125" style="1" bestFit="1" customWidth="1"/>
    <col min="14864" max="14864" width="14.26953125" style="1" customWidth="1"/>
    <col min="14865" max="14865" width="14" style="1" bestFit="1" customWidth="1"/>
    <col min="14866" max="14866" width="11.54296875" style="1" bestFit="1" customWidth="1"/>
    <col min="14867" max="14867" width="13.81640625" style="1" bestFit="1" customWidth="1"/>
    <col min="14868" max="15105" width="11.453125" style="1"/>
    <col min="15106" max="15106" width="20.26953125" style="1" customWidth="1"/>
    <col min="15107" max="15107" width="21.7265625" style="1" customWidth="1"/>
    <col min="15108" max="15108" width="22" style="1" customWidth="1"/>
    <col min="15109" max="15109" width="17.1796875" style="1" customWidth="1"/>
    <col min="15110" max="15110" width="21.453125" style="1" customWidth="1"/>
    <col min="15111" max="15111" width="19.54296875" style="1" customWidth="1"/>
    <col min="15112" max="15112" width="14.1796875" style="1" bestFit="1" customWidth="1"/>
    <col min="15113" max="15113" width="8.453125" style="1" customWidth="1"/>
    <col min="15114" max="15114" width="14.453125" style="1" bestFit="1" customWidth="1"/>
    <col min="15115" max="15115" width="4.453125" style="1" customWidth="1"/>
    <col min="15116" max="15116" width="14.453125" style="1" bestFit="1" customWidth="1"/>
    <col min="15117" max="15117" width="13.453125" style="1" customWidth="1"/>
    <col min="15118" max="15118" width="14.7265625" style="1" bestFit="1" customWidth="1"/>
    <col min="15119" max="15119" width="14.26953125" style="1" bestFit="1" customWidth="1"/>
    <col min="15120" max="15120" width="14.26953125" style="1" customWidth="1"/>
    <col min="15121" max="15121" width="14" style="1" bestFit="1" customWidth="1"/>
    <col min="15122" max="15122" width="11.54296875" style="1" bestFit="1" customWidth="1"/>
    <col min="15123" max="15123" width="13.81640625" style="1" bestFit="1" customWidth="1"/>
    <col min="15124" max="15361" width="11.453125" style="1"/>
    <col min="15362" max="15362" width="20.26953125" style="1" customWidth="1"/>
    <col min="15363" max="15363" width="21.7265625" style="1" customWidth="1"/>
    <col min="15364" max="15364" width="22" style="1" customWidth="1"/>
    <col min="15365" max="15365" width="17.1796875" style="1" customWidth="1"/>
    <col min="15366" max="15366" width="21.453125" style="1" customWidth="1"/>
    <col min="15367" max="15367" width="19.54296875" style="1" customWidth="1"/>
    <col min="15368" max="15368" width="14.1796875" style="1" bestFit="1" customWidth="1"/>
    <col min="15369" max="15369" width="8.453125" style="1" customWidth="1"/>
    <col min="15370" max="15370" width="14.453125" style="1" bestFit="1" customWidth="1"/>
    <col min="15371" max="15371" width="4.453125" style="1" customWidth="1"/>
    <col min="15372" max="15372" width="14.453125" style="1" bestFit="1" customWidth="1"/>
    <col min="15373" max="15373" width="13.453125" style="1" customWidth="1"/>
    <col min="15374" max="15374" width="14.7265625" style="1" bestFit="1" customWidth="1"/>
    <col min="15375" max="15375" width="14.26953125" style="1" bestFit="1" customWidth="1"/>
    <col min="15376" max="15376" width="14.26953125" style="1" customWidth="1"/>
    <col min="15377" max="15377" width="14" style="1" bestFit="1" customWidth="1"/>
    <col min="15378" max="15378" width="11.54296875" style="1" bestFit="1" customWidth="1"/>
    <col min="15379" max="15379" width="13.81640625" style="1" bestFit="1" customWidth="1"/>
    <col min="15380" max="15617" width="11.453125" style="1"/>
    <col min="15618" max="15618" width="20.26953125" style="1" customWidth="1"/>
    <col min="15619" max="15619" width="21.7265625" style="1" customWidth="1"/>
    <col min="15620" max="15620" width="22" style="1" customWidth="1"/>
    <col min="15621" max="15621" width="17.1796875" style="1" customWidth="1"/>
    <col min="15622" max="15622" width="21.453125" style="1" customWidth="1"/>
    <col min="15623" max="15623" width="19.54296875" style="1" customWidth="1"/>
    <col min="15624" max="15624" width="14.1796875" style="1" bestFit="1" customWidth="1"/>
    <col min="15625" max="15625" width="8.453125" style="1" customWidth="1"/>
    <col min="15626" max="15626" width="14.453125" style="1" bestFit="1" customWidth="1"/>
    <col min="15627" max="15627" width="4.453125" style="1" customWidth="1"/>
    <col min="15628" max="15628" width="14.453125" style="1" bestFit="1" customWidth="1"/>
    <col min="15629" max="15629" width="13.453125" style="1" customWidth="1"/>
    <col min="15630" max="15630" width="14.7265625" style="1" bestFit="1" customWidth="1"/>
    <col min="15631" max="15631" width="14.26953125" style="1" bestFit="1" customWidth="1"/>
    <col min="15632" max="15632" width="14.26953125" style="1" customWidth="1"/>
    <col min="15633" max="15633" width="14" style="1" bestFit="1" customWidth="1"/>
    <col min="15634" max="15634" width="11.54296875" style="1" bestFit="1" customWidth="1"/>
    <col min="15635" max="15635" width="13.81640625" style="1" bestFit="1" customWidth="1"/>
    <col min="15636" max="15873" width="11.453125" style="1"/>
    <col min="15874" max="15874" width="20.26953125" style="1" customWidth="1"/>
    <col min="15875" max="15875" width="21.7265625" style="1" customWidth="1"/>
    <col min="15876" max="15876" width="22" style="1" customWidth="1"/>
    <col min="15877" max="15877" width="17.1796875" style="1" customWidth="1"/>
    <col min="15878" max="15878" width="21.453125" style="1" customWidth="1"/>
    <col min="15879" max="15879" width="19.54296875" style="1" customWidth="1"/>
    <col min="15880" max="15880" width="14.1796875" style="1" bestFit="1" customWidth="1"/>
    <col min="15881" max="15881" width="8.453125" style="1" customWidth="1"/>
    <col min="15882" max="15882" width="14.453125" style="1" bestFit="1" customWidth="1"/>
    <col min="15883" max="15883" width="4.453125" style="1" customWidth="1"/>
    <col min="15884" max="15884" width="14.453125" style="1" bestFit="1" customWidth="1"/>
    <col min="15885" max="15885" width="13.453125" style="1" customWidth="1"/>
    <col min="15886" max="15886" width="14.7265625" style="1" bestFit="1" customWidth="1"/>
    <col min="15887" max="15887" width="14.26953125" style="1" bestFit="1" customWidth="1"/>
    <col min="15888" max="15888" width="14.26953125" style="1" customWidth="1"/>
    <col min="15889" max="15889" width="14" style="1" bestFit="1" customWidth="1"/>
    <col min="15890" max="15890" width="11.54296875" style="1" bestFit="1" customWidth="1"/>
    <col min="15891" max="15891" width="13.81640625" style="1" bestFit="1" customWidth="1"/>
    <col min="15892" max="16129" width="11.453125" style="1"/>
    <col min="16130" max="16130" width="20.26953125" style="1" customWidth="1"/>
    <col min="16131" max="16131" width="21.7265625" style="1" customWidth="1"/>
    <col min="16132" max="16132" width="22" style="1" customWidth="1"/>
    <col min="16133" max="16133" width="17.1796875" style="1" customWidth="1"/>
    <col min="16134" max="16134" width="21.453125" style="1" customWidth="1"/>
    <col min="16135" max="16135" width="19.54296875" style="1" customWidth="1"/>
    <col min="16136" max="16136" width="14.1796875" style="1" bestFit="1" customWidth="1"/>
    <col min="16137" max="16137" width="8.453125" style="1" customWidth="1"/>
    <col min="16138" max="16138" width="14.453125" style="1" bestFit="1" customWidth="1"/>
    <col min="16139" max="16139" width="4.453125" style="1" customWidth="1"/>
    <col min="16140" max="16140" width="14.453125" style="1" bestFit="1" customWidth="1"/>
    <col min="16141" max="16141" width="13.453125" style="1" customWidth="1"/>
    <col min="16142" max="16142" width="14.7265625" style="1" bestFit="1" customWidth="1"/>
    <col min="16143" max="16143" width="14.26953125" style="1" bestFit="1" customWidth="1"/>
    <col min="16144" max="16144" width="14.26953125" style="1" customWidth="1"/>
    <col min="16145" max="16145" width="14" style="1" bestFit="1" customWidth="1"/>
    <col min="16146" max="16146" width="11.54296875" style="1" bestFit="1" customWidth="1"/>
    <col min="16147" max="16147" width="13.81640625" style="1" bestFit="1" customWidth="1"/>
    <col min="16148" max="16384" width="11.453125" style="1"/>
  </cols>
  <sheetData>
    <row r="1" spans="2:30" s="7" customFormat="1" ht="6" customHeight="1" thickBot="1" x14ac:dyDescent="0.35">
      <c r="B1" s="18"/>
      <c r="C1" s="19"/>
      <c r="D1" s="18"/>
      <c r="E1" s="20"/>
      <c r="F1" s="1"/>
      <c r="G1" s="1"/>
      <c r="H1" s="21"/>
      <c r="I1" s="21"/>
      <c r="J1" s="21"/>
      <c r="K1" s="21"/>
      <c r="L1" s="22"/>
      <c r="M1" s="23"/>
      <c r="N1" s="23"/>
      <c r="O1" s="4"/>
      <c r="P1" s="4"/>
      <c r="Q1" s="24"/>
      <c r="X1" s="25"/>
      <c r="Y1" s="25"/>
      <c r="Z1" s="25"/>
      <c r="AA1" s="25"/>
      <c r="AB1" s="25"/>
      <c r="AC1" s="25"/>
    </row>
    <row r="2" spans="2:30" ht="31.5" customHeight="1" thickBot="1" x14ac:dyDescent="0.35">
      <c r="B2" s="440" t="s">
        <v>105</v>
      </c>
      <c r="C2" s="441"/>
      <c r="D2" s="441"/>
      <c r="E2" s="441"/>
      <c r="F2" s="442"/>
      <c r="G2" s="26"/>
      <c r="H2" s="227" t="s">
        <v>6</v>
      </c>
      <c r="I2" s="28">
        <v>0.95</v>
      </c>
      <c r="J2" s="26"/>
      <c r="K2" s="29"/>
      <c r="L2" s="22"/>
      <c r="M2" s="30"/>
      <c r="N2" s="30"/>
      <c r="O2" s="31"/>
      <c r="P2" s="31"/>
      <c r="Q2" s="32"/>
      <c r="R2" s="271" t="s">
        <v>126</v>
      </c>
      <c r="S2" s="4"/>
      <c r="T2" s="241" t="s">
        <v>108</v>
      </c>
      <c r="U2" s="240" t="s">
        <v>106</v>
      </c>
      <c r="V2" s="239" t="s">
        <v>107</v>
      </c>
      <c r="W2" s="25"/>
      <c r="X2" s="6"/>
      <c r="Y2" s="6"/>
      <c r="Z2" s="6"/>
      <c r="AA2" s="6"/>
      <c r="AB2" s="6"/>
      <c r="AC2" s="6"/>
      <c r="AD2" s="6"/>
    </row>
    <row r="3" spans="2:30" ht="27.75" customHeight="1" thickBot="1" x14ac:dyDescent="0.35">
      <c r="B3" s="443" t="s">
        <v>115</v>
      </c>
      <c r="C3" s="444"/>
      <c r="D3" s="444"/>
      <c r="E3" s="444"/>
      <c r="F3" s="445"/>
      <c r="G3" s="33"/>
      <c r="K3" s="29"/>
      <c r="L3" s="22"/>
      <c r="M3" s="30"/>
      <c r="N3" s="30"/>
      <c r="O3" s="31"/>
      <c r="P3" s="31"/>
      <c r="Q3" s="32"/>
      <c r="R3" s="242" t="s">
        <v>4</v>
      </c>
      <c r="S3" s="243">
        <f>V3+U3+T3</f>
        <v>-321.66421448422432</v>
      </c>
      <c r="T3" s="268">
        <f>J32</f>
        <v>-25.413928396272684</v>
      </c>
      <c r="U3" s="269">
        <f>J31</f>
        <v>1</v>
      </c>
      <c r="V3" s="270">
        <f>J30</f>
        <v>-297.25028608795162</v>
      </c>
      <c r="W3" s="31"/>
      <c r="X3" s="6"/>
      <c r="Y3" s="6"/>
      <c r="Z3" s="6"/>
      <c r="AA3" s="6"/>
      <c r="AB3" s="6"/>
      <c r="AC3" s="6"/>
      <c r="AD3" s="6"/>
    </row>
    <row r="4" spans="2:30" ht="14.25" customHeight="1" x14ac:dyDescent="0.3">
      <c r="B4" s="39"/>
      <c r="C4" s="34"/>
      <c r="D4" s="23"/>
      <c r="E4" s="23"/>
      <c r="F4" s="5"/>
      <c r="G4" s="255" t="s">
        <v>103</v>
      </c>
      <c r="H4" s="511">
        <v>39</v>
      </c>
      <c r="I4" s="254" t="s">
        <v>119</v>
      </c>
      <c r="K4" s="35"/>
      <c r="L4" s="36"/>
      <c r="O4" s="31"/>
      <c r="P4" s="31"/>
      <c r="Q4" s="31"/>
      <c r="R4" s="31"/>
      <c r="S4" s="31"/>
      <c r="T4" s="31"/>
      <c r="U4" s="31"/>
      <c r="V4" s="31"/>
      <c r="W4" s="31"/>
      <c r="X4" s="6"/>
      <c r="Y4" s="37"/>
      <c r="Z4" s="38"/>
      <c r="AA4" s="6"/>
      <c r="AB4" s="6"/>
      <c r="AC4" s="6"/>
      <c r="AD4" s="6"/>
    </row>
    <row r="5" spans="2:30" x14ac:dyDescent="0.3">
      <c r="B5" s="39"/>
      <c r="C5" s="396"/>
      <c r="D5" s="145" t="s">
        <v>7</v>
      </c>
      <c r="E5" s="145" t="s">
        <v>8</v>
      </c>
      <c r="F5" s="91"/>
      <c r="K5" s="40"/>
      <c r="L5" s="41"/>
      <c r="M5" s="41"/>
      <c r="N5" s="41"/>
      <c r="O5" s="31"/>
      <c r="P5" s="31"/>
      <c r="Q5" s="31"/>
      <c r="R5" s="272" t="s">
        <v>125</v>
      </c>
      <c r="S5" s="238" t="str">
        <f>I4</f>
        <v>meses</v>
      </c>
      <c r="V5" s="2" t="s">
        <v>0</v>
      </c>
      <c r="W5" s="37"/>
      <c r="X5" s="6"/>
      <c r="Y5" s="37"/>
      <c r="Z5" s="38"/>
      <c r="AA5" s="6"/>
      <c r="AB5" s="6"/>
      <c r="AC5" s="6"/>
      <c r="AD5" s="6"/>
    </row>
    <row r="6" spans="2:30" x14ac:dyDescent="0.3">
      <c r="B6" s="39"/>
      <c r="C6" s="397"/>
      <c r="D6" s="398" t="s">
        <v>9</v>
      </c>
      <c r="E6" s="398" t="s">
        <v>10</v>
      </c>
      <c r="F6" s="399" t="s">
        <v>11</v>
      </c>
      <c r="G6" s="515"/>
      <c r="H6" s="516" t="s">
        <v>122</v>
      </c>
      <c r="I6" s="516" t="s">
        <v>123</v>
      </c>
      <c r="J6" s="332"/>
      <c r="K6" s="334"/>
      <c r="L6" s="335"/>
      <c r="M6" s="335"/>
      <c r="N6" s="335"/>
      <c r="O6" s="333" t="s">
        <v>124</v>
      </c>
      <c r="P6" s="31"/>
      <c r="Q6" s="31"/>
      <c r="R6" s="11" t="s">
        <v>1</v>
      </c>
      <c r="S6" s="481">
        <f>S14</f>
        <v>1.4800266311584553</v>
      </c>
      <c r="T6" s="12">
        <f>S6/S9</f>
        <v>3.7949400798934746E-2</v>
      </c>
      <c r="V6" s="288">
        <f>S6*365.25/12</f>
        <v>45.048310585885481</v>
      </c>
      <c r="W6" s="37"/>
      <c r="X6" s="6"/>
      <c r="Y6" s="37"/>
      <c r="Z6" s="6"/>
      <c r="AA6" s="6"/>
      <c r="AB6" s="6"/>
      <c r="AC6" s="6"/>
      <c r="AD6" s="6"/>
    </row>
    <row r="7" spans="2:30" ht="12.75" customHeight="1" x14ac:dyDescent="0.3">
      <c r="C7" s="400" t="s">
        <v>187</v>
      </c>
      <c r="D7" s="512">
        <v>414</v>
      </c>
      <c r="E7" s="513">
        <v>4826</v>
      </c>
      <c r="F7" s="514">
        <v>5240</v>
      </c>
      <c r="G7" s="517">
        <v>7.9007633587786258E-2</v>
      </c>
      <c r="H7" s="518">
        <v>2.4400000000000002E-2</v>
      </c>
      <c r="I7" s="519">
        <v>3.2380177699912398</v>
      </c>
      <c r="J7" s="332"/>
      <c r="K7" s="334"/>
      <c r="L7" s="335"/>
      <c r="M7" s="335"/>
      <c r="N7" s="335"/>
      <c r="O7" s="336">
        <f>I7*12</f>
        <v>38.856213239894878</v>
      </c>
      <c r="P7" s="31"/>
      <c r="Q7" s="31"/>
      <c r="R7" s="13" t="s">
        <v>3</v>
      </c>
      <c r="S7" s="482">
        <f>R14</f>
        <v>-6.0622223803376674E-2</v>
      </c>
      <c r="T7" s="14">
        <f>S7/S9</f>
        <v>-1.5544159949583761E-3</v>
      </c>
      <c r="V7" s="289">
        <f>S7*365.25/12</f>
        <v>-1.8451889370152774</v>
      </c>
      <c r="W7" s="37"/>
      <c r="X7" s="6"/>
      <c r="Y7" s="37"/>
      <c r="Z7" s="6"/>
      <c r="AA7" s="6"/>
      <c r="AB7" s="6"/>
      <c r="AC7" s="6"/>
      <c r="AD7" s="6"/>
    </row>
    <row r="8" spans="2:30" ht="12.75" customHeight="1" x14ac:dyDescent="0.3">
      <c r="B8" s="39"/>
      <c r="C8" s="400" t="s">
        <v>326</v>
      </c>
      <c r="D8" s="512">
        <v>399</v>
      </c>
      <c r="E8" s="513">
        <v>4858</v>
      </c>
      <c r="F8" s="514">
        <v>5257</v>
      </c>
      <c r="G8" s="517">
        <v>7.5898801597869506E-2</v>
      </c>
      <c r="H8" s="518">
        <v>2.3400000000000001E-2</v>
      </c>
      <c r="I8" s="519">
        <v>3.2435385298234829</v>
      </c>
      <c r="J8" s="332"/>
      <c r="K8" s="334"/>
      <c r="L8" s="335"/>
      <c r="M8" s="337"/>
      <c r="N8" s="335"/>
      <c r="O8" s="336">
        <f t="shared" ref="O8:O9" si="0">I8*12</f>
        <v>38.922462357881798</v>
      </c>
      <c r="P8" s="31"/>
      <c r="Q8" s="31"/>
      <c r="R8" s="15" t="s">
        <v>2</v>
      </c>
      <c r="S8" s="483">
        <f>Q14</f>
        <v>37.580595592644926</v>
      </c>
      <c r="T8" s="16">
        <f>S8/S9</f>
        <v>0.9636050151960236</v>
      </c>
      <c r="V8" s="290">
        <f>S8*365.26/12</f>
        <v>1143.8906955141238</v>
      </c>
      <c r="W8" s="37"/>
      <c r="X8" s="6"/>
      <c r="Y8" s="37"/>
      <c r="Z8" s="6"/>
      <c r="AA8" s="6"/>
      <c r="AB8" s="6"/>
      <c r="AC8" s="6"/>
      <c r="AD8" s="6"/>
    </row>
    <row r="9" spans="2:30" x14ac:dyDescent="0.3">
      <c r="B9" s="273"/>
      <c r="C9" s="401" t="s">
        <v>11</v>
      </c>
      <c r="D9" s="524">
        <f>SUM(D7:D8)</f>
        <v>813</v>
      </c>
      <c r="E9" s="523">
        <f>SUM(E7:E8)</f>
        <v>9684</v>
      </c>
      <c r="F9" s="522">
        <f>SUM(F7:F8)</f>
        <v>10497</v>
      </c>
      <c r="G9" s="517">
        <v>7.7450700200057163E-2</v>
      </c>
      <c r="H9" s="520"/>
      <c r="I9" s="521">
        <v>3.2407826203711676</v>
      </c>
      <c r="J9" s="332"/>
      <c r="K9" s="334"/>
      <c r="L9" s="335"/>
      <c r="M9" s="337"/>
      <c r="N9" s="335"/>
      <c r="O9" s="338">
        <f t="shared" si="0"/>
        <v>38.889391444454013</v>
      </c>
      <c r="P9" s="31"/>
      <c r="Q9" s="45"/>
      <c r="S9" s="9">
        <f>SUM(S6:S8)</f>
        <v>39.000000000000007</v>
      </c>
      <c r="V9" s="17">
        <f>SUM(V6:V8)</f>
        <v>1187.0938171629939</v>
      </c>
      <c r="W9" s="37"/>
      <c r="X9" s="6"/>
      <c r="Y9" s="37"/>
      <c r="Z9" s="6"/>
      <c r="AA9" s="6"/>
      <c r="AB9" s="6"/>
      <c r="AC9" s="6"/>
      <c r="AD9" s="6"/>
    </row>
    <row r="10" spans="2:30" ht="12.75" customHeight="1" x14ac:dyDescent="0.3">
      <c r="B10" s="273"/>
      <c r="C10" s="273"/>
      <c r="D10" s="273"/>
      <c r="E10" s="273"/>
      <c r="F10" s="273"/>
      <c r="G10" s="273"/>
      <c r="H10" s="41"/>
      <c r="I10" s="40"/>
      <c r="J10" s="40"/>
      <c r="K10" s="40"/>
      <c r="L10" s="41"/>
      <c r="M10" s="43"/>
      <c r="N10" s="41"/>
      <c r="P10" s="44"/>
      <c r="Q10" s="45"/>
      <c r="R10" s="45"/>
      <c r="S10" s="45"/>
      <c r="T10" s="37"/>
      <c r="V10" s="37"/>
      <c r="W10" s="37"/>
      <c r="X10" s="6"/>
      <c r="Y10" s="37"/>
      <c r="Z10" s="6"/>
      <c r="AA10" s="6"/>
      <c r="AB10" s="6"/>
      <c r="AC10" s="6"/>
      <c r="AD10" s="6"/>
    </row>
    <row r="11" spans="2:30" s="7" customFormat="1" ht="14.25" hidden="1" customHeight="1" x14ac:dyDescent="0.3">
      <c r="B11" s="484" t="s">
        <v>322</v>
      </c>
      <c r="C11" s="46"/>
      <c r="D11" s="47"/>
      <c r="E11" s="4"/>
      <c r="F11" s="48"/>
      <c r="G11" s="49"/>
      <c r="H11" s="43"/>
      <c r="I11" s="49"/>
      <c r="J11" s="43"/>
      <c r="K11" s="50"/>
      <c r="L11" s="50"/>
      <c r="M11" s="49"/>
      <c r="N11" s="50"/>
      <c r="P11" s="4"/>
      <c r="Q11" s="51"/>
      <c r="R11" s="51"/>
      <c r="S11" s="51"/>
      <c r="T11" s="4"/>
      <c r="U11" s="4"/>
      <c r="V11" s="4"/>
      <c r="W11" s="4"/>
    </row>
    <row r="12" spans="2:30" s="7" customFormat="1" ht="12.75" hidden="1" customHeight="1" x14ac:dyDescent="0.3">
      <c r="B12" s="42" t="s">
        <v>12</v>
      </c>
      <c r="C12" s="46"/>
      <c r="D12" s="47"/>
      <c r="E12" s="4"/>
      <c r="F12" s="48"/>
      <c r="G12" s="49"/>
      <c r="H12" s="43"/>
      <c r="I12" s="49"/>
      <c r="J12" s="43"/>
      <c r="K12" s="52"/>
      <c r="L12" s="50"/>
      <c r="M12" s="50"/>
      <c r="N12" s="50"/>
      <c r="O12" s="7" t="s">
        <v>100</v>
      </c>
      <c r="P12" s="4"/>
      <c r="Q12" s="51"/>
      <c r="R12" s="24"/>
      <c r="S12" s="24"/>
      <c r="T12" s="4"/>
      <c r="U12" s="4"/>
      <c r="V12" s="4"/>
      <c r="W12" s="4"/>
    </row>
    <row r="13" spans="2:30" s="7" customFormat="1" ht="45" hidden="1" customHeight="1" x14ac:dyDescent="0.3">
      <c r="B13" s="53" t="s">
        <v>13</v>
      </c>
      <c r="C13" s="53" t="s">
        <v>14</v>
      </c>
      <c r="D13" s="53" t="s">
        <v>323</v>
      </c>
      <c r="E13" s="53" t="s">
        <v>15</v>
      </c>
      <c r="F13" s="53" t="s">
        <v>16</v>
      </c>
      <c r="G13" s="53" t="s">
        <v>17</v>
      </c>
      <c r="H13" s="53" t="s">
        <v>18</v>
      </c>
      <c r="I13" s="53" t="s">
        <v>19</v>
      </c>
      <c r="J13" s="43"/>
      <c r="K13" s="485" t="s">
        <v>20</v>
      </c>
      <c r="L13" s="486" t="s">
        <v>21</v>
      </c>
      <c r="M13" s="486" t="s">
        <v>22</v>
      </c>
      <c r="N13" s="50"/>
      <c r="O13" s="228" t="s">
        <v>101</v>
      </c>
      <c r="P13" s="228" t="s">
        <v>102</v>
      </c>
      <c r="Q13" s="231" t="s">
        <v>2</v>
      </c>
      <c r="R13" s="232" t="s">
        <v>3</v>
      </c>
      <c r="S13" s="233" t="s">
        <v>1</v>
      </c>
      <c r="T13" s="4"/>
      <c r="W13" s="4"/>
    </row>
    <row r="14" spans="2:30" s="7" customFormat="1" ht="12.75" hidden="1" customHeight="1" x14ac:dyDescent="0.3">
      <c r="B14" s="54">
        <f>LN((D7/F7)/(D8/F8))</f>
        <v>4.0143580439811206E-2</v>
      </c>
      <c r="C14" s="54">
        <f>SQRT((E7/(D7*F7)+(E8/(D8*F8))))</f>
        <v>6.738443697402477E-2</v>
      </c>
      <c r="D14" s="55">
        <f>-NORMSINV((1-I2)/2)</f>
        <v>1.9599639845400536</v>
      </c>
      <c r="E14" s="56">
        <f>B14-(D14*C14)</f>
        <v>-9.1927489147786506E-2</v>
      </c>
      <c r="F14" s="57">
        <f>B14+(D14*C14)</f>
        <v>0.17221465002740891</v>
      </c>
      <c r="G14" s="487">
        <f>(D7/F7)/(D8/F8)</f>
        <v>1.0409602249899559</v>
      </c>
      <c r="H14" s="487">
        <f>EXP(E14)</f>
        <v>0.91217128946469417</v>
      </c>
      <c r="I14" s="487">
        <f>EXP(F14)</f>
        <v>1.1879327956562269</v>
      </c>
      <c r="J14" s="43"/>
      <c r="K14" s="488">
        <f>1-G14</f>
        <v>-4.0960224989955885E-2</v>
      </c>
      <c r="L14" s="487">
        <f>1-H14</f>
        <v>8.7828710535305832E-2</v>
      </c>
      <c r="M14" s="487">
        <f>1-I14</f>
        <v>-0.18793279565622689</v>
      </c>
      <c r="N14" s="58"/>
      <c r="O14" s="229">
        <f>(D7/F7)*H4/2</f>
        <v>1.540648854961832</v>
      </c>
      <c r="P14" s="230">
        <f>(D8/F8)*H4/2</f>
        <v>1.4800266311584553</v>
      </c>
      <c r="Q14" s="234">
        <f>H4-R14-S14</f>
        <v>37.580595592644926</v>
      </c>
      <c r="R14" s="234">
        <f>P14-O14</f>
        <v>-6.0622223803376674E-2</v>
      </c>
      <c r="S14" s="234">
        <f>P14</f>
        <v>1.4800266311584553</v>
      </c>
      <c r="T14" s="4" t="str">
        <f>I4</f>
        <v>meses</v>
      </c>
      <c r="W14" s="4"/>
    </row>
    <row r="15" spans="2:30" s="7" customFormat="1" ht="12.75" hidden="1" customHeight="1" x14ac:dyDescent="0.3">
      <c r="B15" s="59"/>
      <c r="C15" s="46"/>
      <c r="D15" s="46"/>
      <c r="E15" s="46"/>
      <c r="F15" s="60"/>
      <c r="G15" s="61"/>
      <c r="H15" s="43"/>
      <c r="I15" s="49"/>
      <c r="J15" s="43"/>
      <c r="K15" s="49"/>
      <c r="L15" s="49"/>
      <c r="M15" s="49"/>
      <c r="N15" s="50"/>
      <c r="P15" s="4"/>
      <c r="Q15" s="4"/>
      <c r="R15" s="4"/>
      <c r="S15" s="4"/>
      <c r="T15" s="4"/>
      <c r="U15" s="4"/>
      <c r="V15" s="4"/>
      <c r="W15" s="4"/>
    </row>
    <row r="16" spans="2:30" s="6" customFormat="1" ht="12.75" hidden="1" customHeight="1" x14ac:dyDescent="0.3">
      <c r="B16" s="62"/>
      <c r="C16" s="63"/>
      <c r="D16" s="64"/>
      <c r="E16" s="65"/>
      <c r="F16" s="66"/>
      <c r="G16" s="67"/>
      <c r="H16" s="68"/>
      <c r="I16" s="69"/>
      <c r="J16" s="69"/>
      <c r="K16" s="70"/>
      <c r="L16" s="70"/>
      <c r="M16" s="71"/>
      <c r="N16" s="71"/>
    </row>
    <row r="17" spans="2:30" ht="15.75" hidden="1" customHeight="1" x14ac:dyDescent="0.3">
      <c r="B17" s="72" t="s">
        <v>23</v>
      </c>
      <c r="C17" s="4"/>
      <c r="D17" s="73"/>
      <c r="E17" s="73"/>
      <c r="F17" s="23"/>
      <c r="G17" s="23"/>
      <c r="H17" s="74"/>
      <c r="I17" s="75"/>
      <c r="J17" s="76"/>
      <c r="K17" s="76"/>
      <c r="L17" s="7"/>
      <c r="M17" s="50"/>
      <c r="N17" s="43"/>
      <c r="O17" s="75"/>
      <c r="P17" s="4"/>
      <c r="Q17" s="4"/>
      <c r="R17" s="77"/>
      <c r="S17" s="75"/>
      <c r="T17" s="78"/>
      <c r="U17" s="78"/>
      <c r="V17" s="78"/>
      <c r="W17" s="6"/>
      <c r="X17" s="6"/>
      <c r="Y17" s="6"/>
      <c r="Z17" s="6"/>
      <c r="AA17" s="6"/>
      <c r="AB17" s="6"/>
      <c r="AC17" s="6"/>
    </row>
    <row r="18" spans="2:30" ht="12.75" hidden="1" customHeight="1" x14ac:dyDescent="0.3">
      <c r="B18" s="79" t="s">
        <v>24</v>
      </c>
      <c r="C18" s="4"/>
      <c r="D18" s="75"/>
      <c r="E18" s="75"/>
      <c r="F18" s="4"/>
      <c r="G18" s="4"/>
      <c r="H18" s="77"/>
      <c r="I18" s="75"/>
      <c r="J18" s="78"/>
      <c r="K18" s="78"/>
      <c r="L18" s="78"/>
      <c r="M18" s="50"/>
      <c r="N18" s="43"/>
      <c r="O18" s="4"/>
      <c r="P18" s="4"/>
      <c r="Q18" s="77"/>
      <c r="R18" s="75"/>
      <c r="S18" s="78"/>
      <c r="T18" s="78"/>
      <c r="U18" s="78"/>
      <c r="W18" s="6" t="s">
        <v>25</v>
      </c>
      <c r="X18" s="6"/>
      <c r="Y18" s="6"/>
      <c r="Z18" s="6"/>
      <c r="AA18" s="6"/>
      <c r="AB18" s="6"/>
    </row>
    <row r="19" spans="2:30" ht="25.5" hidden="1" customHeight="1" x14ac:dyDescent="0.3">
      <c r="B19" s="80" t="s">
        <v>26</v>
      </c>
      <c r="C19" s="1" t="s">
        <v>27</v>
      </c>
      <c r="D19" s="7"/>
      <c r="E19" s="1" t="s">
        <v>28</v>
      </c>
      <c r="G19" s="1" t="s">
        <v>29</v>
      </c>
      <c r="I19" s="1" t="s">
        <v>30</v>
      </c>
      <c r="J19" s="78"/>
      <c r="K19" s="78"/>
      <c r="L19" s="78"/>
      <c r="M19" s="50"/>
      <c r="N19" s="70"/>
      <c r="P19" s="1"/>
      <c r="T19" s="6"/>
      <c r="V19" s="1"/>
      <c r="W19" s="1" t="s">
        <v>31</v>
      </c>
      <c r="Y19" s="6"/>
      <c r="Z19" s="6"/>
      <c r="AA19" s="6"/>
      <c r="AB19" s="6"/>
      <c r="AC19" s="6"/>
      <c r="AD19" s="6"/>
    </row>
    <row r="20" spans="2:30" ht="38.25" hidden="1" customHeight="1" x14ac:dyDescent="0.4">
      <c r="B20" s="53" t="s">
        <v>32</v>
      </c>
      <c r="C20" s="53" t="s">
        <v>33</v>
      </c>
      <c r="D20" s="489" t="s">
        <v>34</v>
      </c>
      <c r="E20" s="489" t="s">
        <v>27</v>
      </c>
      <c r="F20" s="489" t="s">
        <v>324</v>
      </c>
      <c r="G20" s="489" t="s">
        <v>29</v>
      </c>
      <c r="H20" s="489" t="s">
        <v>30</v>
      </c>
      <c r="I20" s="490" t="s">
        <v>35</v>
      </c>
      <c r="J20" s="489" t="s">
        <v>36</v>
      </c>
      <c r="K20" s="489" t="s">
        <v>21</v>
      </c>
      <c r="L20" s="489" t="s">
        <v>22</v>
      </c>
      <c r="M20" s="81"/>
      <c r="N20" s="82"/>
      <c r="O20" s="83" t="s">
        <v>37</v>
      </c>
      <c r="P20" s="84" t="s">
        <v>38</v>
      </c>
      <c r="Q20" s="85"/>
      <c r="R20" s="86"/>
      <c r="S20" s="87"/>
      <c r="T20" s="87"/>
      <c r="U20" s="88"/>
      <c r="W20" s="89"/>
      <c r="X20" s="83" t="s">
        <v>39</v>
      </c>
      <c r="Y20" s="84" t="s">
        <v>40</v>
      </c>
      <c r="Z20" s="90"/>
      <c r="AA20" s="90"/>
      <c r="AB20" s="90" t="s">
        <v>41</v>
      </c>
      <c r="AC20" s="90"/>
      <c r="AD20" s="91"/>
    </row>
    <row r="21" spans="2:30" ht="12.75" hidden="1" customHeight="1" x14ac:dyDescent="0.3">
      <c r="B21" s="318">
        <f>D7</f>
        <v>414</v>
      </c>
      <c r="C21" s="319">
        <f>F7</f>
        <v>5240</v>
      </c>
      <c r="D21" s="320">
        <f>B21/C21</f>
        <v>7.9007633587786258E-2</v>
      </c>
      <c r="E21" s="321">
        <f>2*B21+I21^2</f>
        <v>831.84145882069413</v>
      </c>
      <c r="F21" s="321">
        <f>I21*SQRT((I21^2)+(4*B21*(1-D21)))</f>
        <v>76.639474446597802</v>
      </c>
      <c r="G21" s="322">
        <f>2*(C21+I21^2)</f>
        <v>10487.682917641388</v>
      </c>
      <c r="H21" s="323" t="s">
        <v>42</v>
      </c>
      <c r="I21" s="55">
        <f>-NORMSINV((1-I2)/2)</f>
        <v>1.9599639845400536</v>
      </c>
      <c r="J21" s="491">
        <f>D21</f>
        <v>7.9007633587786258E-2</v>
      </c>
      <c r="K21" s="491">
        <f>(E21-F21)/G21</f>
        <v>7.2008468439083623E-2</v>
      </c>
      <c r="L21" s="491">
        <f>(E21+F21)/G21</f>
        <v>8.6623607941000116E-2</v>
      </c>
      <c r="M21" s="81"/>
      <c r="N21" s="92">
        <f>F9/2</f>
        <v>5248.5</v>
      </c>
      <c r="O21" s="8" t="s">
        <v>43</v>
      </c>
      <c r="P21" s="4"/>
      <c r="Q21" s="77"/>
      <c r="R21" s="75"/>
      <c r="S21" s="78"/>
      <c r="T21" s="78"/>
      <c r="U21" s="93"/>
      <c r="W21" s="94">
        <f>ABS(D21-D22)</f>
        <v>3.1088319899167521E-3</v>
      </c>
      <c r="X21" s="8" t="s">
        <v>44</v>
      </c>
      <c r="Y21" s="4"/>
      <c r="Z21" s="8"/>
      <c r="AA21" s="8"/>
      <c r="AB21" s="8" t="s">
        <v>45</v>
      </c>
      <c r="AC21" s="8"/>
      <c r="AD21" s="95"/>
    </row>
    <row r="22" spans="2:30" ht="14.25" hidden="1" customHeight="1" x14ac:dyDescent="0.4">
      <c r="B22" s="318">
        <f>D8</f>
        <v>399</v>
      </c>
      <c r="C22" s="319">
        <f>F8</f>
        <v>5257</v>
      </c>
      <c r="D22" s="320">
        <f>B22/C22</f>
        <v>7.5898801597869506E-2</v>
      </c>
      <c r="E22" s="321">
        <f>2*B22+I22^2</f>
        <v>801.84145882069413</v>
      </c>
      <c r="F22" s="321">
        <f>I22*SQRT((I22^2)+(4*B22*(1-D22)))</f>
        <v>75.368374924614258</v>
      </c>
      <c r="G22" s="322">
        <f>2*(C22+I22^2)</f>
        <v>10521.682917641388</v>
      </c>
      <c r="H22" s="323" t="s">
        <v>42</v>
      </c>
      <c r="I22" s="55">
        <f>-NORMSINV((1-I2)/2)</f>
        <v>1.9599639845400536</v>
      </c>
      <c r="J22" s="491">
        <f>D22</f>
        <v>7.5898801597869506E-2</v>
      </c>
      <c r="K22" s="491">
        <f>(E22-F22)/G22</f>
        <v>6.904533139637048E-2</v>
      </c>
      <c r="L22" s="491">
        <f>(E22+F22)/G22</f>
        <v>8.3371627962150155E-2</v>
      </c>
      <c r="M22" s="81"/>
      <c r="N22" s="96">
        <f>J26</f>
        <v>-3.1088319899167521E-3</v>
      </c>
      <c r="O22" s="8" t="s">
        <v>46</v>
      </c>
      <c r="P22" s="8"/>
      <c r="Q22" s="8"/>
      <c r="R22" s="8"/>
      <c r="S22" s="8"/>
      <c r="T22" s="8"/>
      <c r="U22" s="97"/>
      <c r="W22" s="98">
        <f>SQRT((D23*(1-D23)/C21)+(D23*(1-D23)/C22))</f>
        <v>5.2180163140258676E-3</v>
      </c>
      <c r="X22" s="79" t="s">
        <v>47</v>
      </c>
      <c r="Y22" s="8"/>
      <c r="Z22" s="8"/>
      <c r="AA22" s="8"/>
      <c r="AB22" s="8"/>
      <c r="AC22" s="8"/>
      <c r="AD22" s="95"/>
    </row>
    <row r="23" spans="2:30" ht="12.75" hidden="1" customHeight="1" x14ac:dyDescent="0.3">
      <c r="B23" s="318">
        <f>D9</f>
        <v>813</v>
      </c>
      <c r="C23" s="319">
        <f>F9</f>
        <v>10497</v>
      </c>
      <c r="D23" s="320">
        <f>B23/C23</f>
        <v>7.7450700200057163E-2</v>
      </c>
      <c r="E23" s="321">
        <f>2*B23+I23^2</f>
        <v>1629.841458820694</v>
      </c>
      <c r="F23" s="321">
        <f>I23*SQRT((I23^2)+(4*B23*(1-D23)))</f>
        <v>107.42268800489506</v>
      </c>
      <c r="G23" s="322">
        <f>2*(C23+I23^2)</f>
        <v>21001.682917641388</v>
      </c>
      <c r="H23" s="323" t="s">
        <v>42</v>
      </c>
      <c r="I23" s="55">
        <f>-NORMSINV((1-I2)/2)</f>
        <v>1.9599639845400536</v>
      </c>
      <c r="J23" s="491">
        <f>D23</f>
        <v>7.7450700200057163E-2</v>
      </c>
      <c r="K23" s="491">
        <f>(E23-F23)/G23</f>
        <v>7.2490322646332747E-2</v>
      </c>
      <c r="L23" s="491">
        <f>(E23+F23)/G23</f>
        <v>8.2720235022989003E-2</v>
      </c>
      <c r="M23" s="81"/>
      <c r="N23" s="99">
        <f>(B21+B22)/(C21+C22)</f>
        <v>7.7450700200057163E-2</v>
      </c>
      <c r="O23" s="8" t="s">
        <v>48</v>
      </c>
      <c r="P23" s="4"/>
      <c r="Q23" s="77"/>
      <c r="R23" s="75"/>
      <c r="S23" s="78"/>
      <c r="T23" s="78"/>
      <c r="U23" s="95"/>
      <c r="W23" s="100">
        <f>W21/W22</f>
        <v>0.59578809318022008</v>
      </c>
      <c r="X23" s="8" t="s">
        <v>49</v>
      </c>
      <c r="Y23" s="4"/>
      <c r="Z23" s="8"/>
      <c r="AA23" s="8"/>
      <c r="AB23" s="8"/>
      <c r="AC23" s="8"/>
      <c r="AD23" s="95"/>
    </row>
    <row r="24" spans="2:30" ht="15" hidden="1" customHeight="1" x14ac:dyDescent="0.3">
      <c r="B24" s="42"/>
      <c r="C24" s="101" t="s">
        <v>50</v>
      </c>
      <c r="F24" s="102"/>
      <c r="G24" s="69"/>
      <c r="H24" s="69"/>
      <c r="I24" s="69"/>
      <c r="J24" s="69"/>
      <c r="K24" s="70"/>
      <c r="L24" s="41"/>
      <c r="M24" s="81"/>
      <c r="N24" s="103">
        <f>SQRT(N21*N22^2/(2*N23*(1-N23)))-I21</f>
        <v>-1.3641751100377013</v>
      </c>
      <c r="O24" s="8" t="s">
        <v>51</v>
      </c>
      <c r="P24" s="8"/>
      <c r="Q24" s="8"/>
      <c r="R24" s="8"/>
      <c r="S24" s="8"/>
      <c r="T24" s="7"/>
      <c r="U24" s="93"/>
      <c r="W24" s="104">
        <f>NORMSDIST(-W23)</f>
        <v>0.2756583995019905</v>
      </c>
      <c r="X24" s="72" t="s">
        <v>52</v>
      </c>
      <c r="Y24" s="8"/>
      <c r="Z24" s="7"/>
      <c r="AA24" s="7"/>
      <c r="AB24" s="7"/>
      <c r="AC24" s="7"/>
      <c r="AD24" s="97"/>
    </row>
    <row r="25" spans="2:30" ht="13.5" hidden="1" customHeight="1" x14ac:dyDescent="0.3">
      <c r="B25" s="42"/>
      <c r="C25" s="101" t="s">
        <v>325</v>
      </c>
      <c r="D25" s="2"/>
      <c r="E25" s="105"/>
      <c r="F25" s="102"/>
      <c r="G25" s="69"/>
      <c r="H25" s="41"/>
      <c r="I25" s="41"/>
      <c r="J25" s="492"/>
      <c r="K25" s="492"/>
      <c r="L25" s="492"/>
      <c r="M25" s="81"/>
      <c r="N25" s="106">
        <f>NORMSDIST(N24)</f>
        <v>8.6256229912502314E-2</v>
      </c>
      <c r="O25" s="72" t="s">
        <v>53</v>
      </c>
      <c r="P25" s="107"/>
      <c r="Q25" s="8"/>
      <c r="R25" s="8"/>
      <c r="S25" s="8"/>
      <c r="T25" s="8"/>
      <c r="U25" s="95"/>
      <c r="W25" s="108">
        <f>1-W24</f>
        <v>0.72434160049800944</v>
      </c>
      <c r="X25" s="109" t="s">
        <v>54</v>
      </c>
      <c r="Y25" s="107"/>
      <c r="Z25" s="7"/>
      <c r="AA25" s="7"/>
      <c r="AB25" s="7"/>
      <c r="AC25" s="7"/>
      <c r="AD25" s="97"/>
    </row>
    <row r="26" spans="2:30" ht="15" hidden="1" customHeight="1" x14ac:dyDescent="0.35">
      <c r="F26" s="110"/>
      <c r="G26" s="41"/>
      <c r="H26" s="41"/>
      <c r="I26" s="27" t="s">
        <v>55</v>
      </c>
      <c r="J26" s="493">
        <f>D22-D21</f>
        <v>-3.1088319899167521E-3</v>
      </c>
      <c r="K26" s="494">
        <f>J26+SQRT((D22-K22)^2+(L21-D21)^2)</f>
        <v>7.1368070409903173E-3</v>
      </c>
      <c r="L26" s="495">
        <f>J26-SQRT((D21-K21)^2+(L22-D22)^2)</f>
        <v>-1.3347554891211696E-2</v>
      </c>
      <c r="M26" s="40"/>
      <c r="N26" s="111">
        <f>1-N25</f>
        <v>0.91374377008749774</v>
      </c>
      <c r="O26" s="112" t="s">
        <v>56</v>
      </c>
      <c r="P26" s="113"/>
      <c r="Q26" s="114"/>
      <c r="R26" s="113"/>
      <c r="S26" s="113"/>
      <c r="T26" s="113"/>
      <c r="U26" s="115"/>
      <c r="W26" s="116"/>
      <c r="X26" s="117"/>
      <c r="Y26" s="113"/>
      <c r="Z26" s="117"/>
      <c r="AA26" s="117"/>
      <c r="AB26" s="117"/>
      <c r="AC26" s="117"/>
      <c r="AD26" s="118"/>
    </row>
    <row r="27" spans="2:30" ht="13.5" hidden="1" customHeight="1" x14ac:dyDescent="0.3">
      <c r="F27" s="119"/>
      <c r="G27" s="41"/>
      <c r="H27" s="41"/>
      <c r="I27" s="27" t="s">
        <v>57</v>
      </c>
      <c r="J27" s="496">
        <f>1/J26</f>
        <v>-321.66421448422432</v>
      </c>
      <c r="K27" s="497">
        <f>1/K26</f>
        <v>140.1186825223788</v>
      </c>
      <c r="L27" s="498">
        <f>1/L26</f>
        <v>-74.920088971383109</v>
      </c>
      <c r="M27" s="40"/>
      <c r="N27" s="41"/>
      <c r="O27" s="1"/>
      <c r="P27" s="1"/>
      <c r="U27" s="1"/>
      <c r="V27" s="1"/>
      <c r="W27" s="6"/>
      <c r="X27" s="6"/>
      <c r="Y27" s="6"/>
      <c r="Z27" s="6"/>
      <c r="AA27" s="6"/>
      <c r="AB27" s="6"/>
      <c r="AC27" s="6"/>
    </row>
    <row r="28" spans="2:30" ht="14.25" hidden="1" customHeight="1" x14ac:dyDescent="0.4">
      <c r="G28" s="41"/>
      <c r="H28" s="41"/>
      <c r="K28" s="120"/>
      <c r="L28" s="120"/>
      <c r="M28" s="121"/>
      <c r="N28" s="82"/>
      <c r="O28" s="122"/>
      <c r="P28" s="122" t="s">
        <v>47</v>
      </c>
      <c r="Q28" s="123">
        <f>SQRT((D23*(1-D23)/C21)+(D23*(1-D23)/C22))</f>
        <v>5.2180163140258676E-3</v>
      </c>
      <c r="R28" s="124"/>
      <c r="S28" s="124"/>
      <c r="T28" s="124"/>
      <c r="U28" s="91"/>
      <c r="V28" s="1"/>
    </row>
    <row r="29" spans="2:30" ht="31.5" hidden="1" customHeight="1" x14ac:dyDescent="0.35">
      <c r="F29" s="125"/>
      <c r="G29" s="140"/>
      <c r="H29" s="312"/>
      <c r="I29" s="313"/>
      <c r="J29" s="499">
        <f>J27</f>
        <v>-321.66421448422432</v>
      </c>
      <c r="K29" s="499">
        <f>K27</f>
        <v>140.1186825223788</v>
      </c>
      <c r="L29" s="499">
        <f>L27</f>
        <v>-74.920088971383109</v>
      </c>
      <c r="M29" s="41"/>
      <c r="N29" s="500" t="s">
        <v>58</v>
      </c>
      <c r="O29" s="126"/>
      <c r="P29" s="8" t="s">
        <v>59</v>
      </c>
      <c r="Q29" s="8"/>
      <c r="R29" s="77"/>
      <c r="S29" s="127" t="s">
        <v>60</v>
      </c>
      <c r="T29" s="8"/>
      <c r="U29" s="95"/>
      <c r="V29" s="1"/>
    </row>
    <row r="30" spans="2:30" s="7" customFormat="1" ht="14.25" hidden="1" customHeight="1" x14ac:dyDescent="0.4">
      <c r="F30" s="128"/>
      <c r="G30" s="314"/>
      <c r="H30" s="315"/>
      <c r="I30" s="312"/>
      <c r="J30" s="501">
        <f>(1-D22)*J27</f>
        <v>-297.25028608795162</v>
      </c>
      <c r="K30" s="502">
        <f>(1-D22)*K27</f>
        <v>129.48384243745789</v>
      </c>
      <c r="L30" s="502">
        <f>(1-D22)*L27</f>
        <v>-69.233744002849363</v>
      </c>
      <c r="M30" s="41"/>
      <c r="N30" s="129"/>
      <c r="O30" s="130" t="s">
        <v>61</v>
      </c>
      <c r="Q30" s="131" t="s">
        <v>62</v>
      </c>
      <c r="R30" s="130" t="s">
        <v>63</v>
      </c>
      <c r="S30" s="8"/>
      <c r="T30" s="8"/>
      <c r="U30" s="97"/>
    </row>
    <row r="31" spans="2:30" s="7" customFormat="1" ht="14.25" hidden="1" customHeight="1" x14ac:dyDescent="0.4">
      <c r="F31" s="132"/>
      <c r="G31" s="314"/>
      <c r="H31" s="315"/>
      <c r="I31" s="312"/>
      <c r="J31" s="503">
        <f>J27*J26</f>
        <v>1</v>
      </c>
      <c r="K31" s="503">
        <f>K27*K26</f>
        <v>1</v>
      </c>
      <c r="L31" s="503">
        <f>L27*L26</f>
        <v>1</v>
      </c>
      <c r="M31" s="50"/>
      <c r="N31" s="103">
        <f>ABS((J26/Q28))-I21</f>
        <v>-1.3641758913598334</v>
      </c>
      <c r="O31" s="130" t="s">
        <v>64</v>
      </c>
      <c r="P31" s="8"/>
      <c r="Q31" s="8"/>
      <c r="R31" s="75"/>
      <c r="S31" s="78"/>
      <c r="T31" s="78"/>
      <c r="U31" s="93"/>
    </row>
    <row r="32" spans="2:30" s="7" customFormat="1" ht="12.75" hidden="1" customHeight="1" x14ac:dyDescent="0.3">
      <c r="B32" s="133"/>
      <c r="C32" s="134"/>
      <c r="E32" s="135"/>
      <c r="G32" s="316"/>
      <c r="H32" s="317"/>
      <c r="I32" s="504"/>
      <c r="J32" s="505">
        <f>(D22-J26)*J27</f>
        <v>-25.413928396272684</v>
      </c>
      <c r="K32" s="506">
        <f>(D22-K26)*K27</f>
        <v>9.6348400849208939</v>
      </c>
      <c r="L32" s="506">
        <f>(D22-L26)*L27</f>
        <v>-6.6863449685337377</v>
      </c>
      <c r="M32" s="50"/>
      <c r="N32" s="106">
        <f>NORMSDIST(N31)</f>
        <v>8.6256106989078069E-2</v>
      </c>
      <c r="O32" s="79" t="s">
        <v>65</v>
      </c>
      <c r="P32" s="107"/>
      <c r="Q32" s="8"/>
      <c r="R32" s="8"/>
      <c r="S32" s="8"/>
      <c r="T32" s="8"/>
      <c r="U32" s="97"/>
    </row>
    <row r="33" spans="2:22" s="7" customFormat="1" ht="12.75" hidden="1" customHeight="1" x14ac:dyDescent="0.3">
      <c r="B33" s="133"/>
      <c r="G33" s="136"/>
      <c r="H33" s="137"/>
      <c r="I33" s="137"/>
      <c r="J33" s="507"/>
      <c r="K33" s="507"/>
      <c r="L33" s="507"/>
      <c r="M33" s="50"/>
      <c r="N33" s="111">
        <f>1-N32</f>
        <v>0.91374389301092196</v>
      </c>
      <c r="O33" s="113" t="s">
        <v>66</v>
      </c>
      <c r="P33" s="113"/>
      <c r="Q33" s="114"/>
      <c r="R33" s="138"/>
      <c r="S33" s="139"/>
      <c r="T33" s="139"/>
      <c r="U33" s="115"/>
    </row>
    <row r="34" spans="2:22" ht="15.75" hidden="1" customHeight="1" x14ac:dyDescent="0.35">
      <c r="B34" s="141" t="s">
        <v>67</v>
      </c>
      <c r="C34" s="142"/>
      <c r="D34" s="142"/>
      <c r="E34" s="142"/>
      <c r="F34" s="143"/>
      <c r="G34" s="316"/>
      <c r="H34" s="317"/>
      <c r="I34" s="504"/>
      <c r="J34" s="506">
        <f>ABS(D22*J27)</f>
        <v>24.413928396272684</v>
      </c>
      <c r="K34" s="506">
        <f>ABS(D22*L27)</f>
        <v>5.6863449685337377</v>
      </c>
      <c r="L34" s="506">
        <f>ABS(D22*K27)</f>
        <v>10.634840084920894</v>
      </c>
      <c r="M34" s="41"/>
      <c r="N34" s="40"/>
      <c r="O34" s="8"/>
      <c r="P34" s="8"/>
      <c r="Q34" s="8"/>
      <c r="R34" s="8"/>
      <c r="S34" s="8"/>
      <c r="T34" s="8"/>
      <c r="U34" s="8"/>
      <c r="V34" s="8"/>
    </row>
    <row r="35" spans="2:22" s="6" customFormat="1" ht="12.75" hidden="1" customHeight="1" x14ac:dyDescent="0.3">
      <c r="B35" s="42"/>
      <c r="C35" s="144" t="s">
        <v>7</v>
      </c>
      <c r="D35" s="145" t="s">
        <v>8</v>
      </c>
      <c r="E35" s="8"/>
      <c r="F35" s="143"/>
      <c r="G35" s="146"/>
      <c r="H35" s="147"/>
      <c r="I35" s="508"/>
      <c r="J35" s="509"/>
      <c r="K35" s="509"/>
      <c r="L35" s="509"/>
      <c r="M35" s="70"/>
      <c r="N35" s="50"/>
      <c r="O35" s="7"/>
      <c r="P35" s="7"/>
      <c r="Q35" s="7"/>
      <c r="R35" s="7"/>
    </row>
    <row r="36" spans="2:22" ht="12.75" hidden="1" customHeight="1" x14ac:dyDescent="0.3">
      <c r="B36" s="148" t="s">
        <v>68</v>
      </c>
      <c r="C36" s="149" t="s">
        <v>9</v>
      </c>
      <c r="D36" s="150" t="s">
        <v>10</v>
      </c>
      <c r="E36" s="3" t="s">
        <v>11</v>
      </c>
      <c r="G36" s="41"/>
      <c r="H36" s="41"/>
      <c r="I36" s="41"/>
      <c r="J36" s="41"/>
      <c r="K36" s="41"/>
      <c r="L36" s="41"/>
      <c r="M36" s="41"/>
      <c r="N36" s="50"/>
      <c r="O36" s="7"/>
      <c r="P36" s="7"/>
      <c r="Q36" s="7"/>
      <c r="R36" s="7"/>
      <c r="U36" s="1"/>
      <c r="V36" s="1"/>
    </row>
    <row r="37" spans="2:22" ht="12.75" hidden="1" customHeight="1" x14ac:dyDescent="0.3">
      <c r="B37" s="151" t="s">
        <v>69</v>
      </c>
      <c r="C37" s="152">
        <f>F7*D9/F9</f>
        <v>405.84166904829954</v>
      </c>
      <c r="D37" s="152">
        <f>F7*E9/F9</f>
        <v>4834.1583309517009</v>
      </c>
      <c r="E37" s="152">
        <f>F7</f>
        <v>5240</v>
      </c>
      <c r="G37" s="10"/>
      <c r="H37" s="153" t="s">
        <v>70</v>
      </c>
      <c r="I37" s="154">
        <f>CHIINV(0.05,K38)</f>
        <v>3.8414588206941236</v>
      </c>
      <c r="J37" s="41"/>
      <c r="K37" s="41"/>
      <c r="L37" s="41"/>
      <c r="M37" s="41"/>
      <c r="N37" s="50"/>
      <c r="O37" s="155"/>
      <c r="P37" s="155"/>
      <c r="Q37" s="155"/>
      <c r="R37" s="7"/>
      <c r="U37" s="1"/>
      <c r="V37" s="1"/>
    </row>
    <row r="38" spans="2:22" ht="12.75" hidden="1" customHeight="1" x14ac:dyDescent="0.3">
      <c r="B38" s="156" t="s">
        <v>71</v>
      </c>
      <c r="C38" s="152">
        <f>F8*D9/F9</f>
        <v>407.15833095170046</v>
      </c>
      <c r="D38" s="152">
        <f>F8*E9/F9</f>
        <v>4849.8416690482991</v>
      </c>
      <c r="E38" s="152">
        <f>F8</f>
        <v>5257</v>
      </c>
      <c r="F38" s="6"/>
      <c r="G38" s="157"/>
      <c r="H38" s="157"/>
      <c r="I38" s="158"/>
      <c r="J38" s="159" t="s">
        <v>72</v>
      </c>
      <c r="K38" s="160">
        <f>(COUNT(C37:D37)-1)*(COUNT(C37:C38)-1)</f>
        <v>1</v>
      </c>
      <c r="L38" s="41"/>
      <c r="M38" s="41"/>
      <c r="N38" s="41"/>
      <c r="O38" s="155"/>
      <c r="P38" s="155"/>
      <c r="Q38" s="155"/>
      <c r="R38" s="7"/>
      <c r="U38" s="1"/>
      <c r="V38" s="1"/>
    </row>
    <row r="39" spans="2:22" ht="12.75" hidden="1" customHeight="1" x14ac:dyDescent="0.3">
      <c r="B39" s="161" t="s">
        <v>73</v>
      </c>
      <c r="C39" s="152">
        <f>SUM(C37:C38)</f>
        <v>813</v>
      </c>
      <c r="D39" s="152">
        <f>SUM(D37:D38)</f>
        <v>9684</v>
      </c>
      <c r="E39" s="162">
        <f>SUM(E37:E38)</f>
        <v>10497</v>
      </c>
      <c r="F39" s="6"/>
      <c r="G39" s="70"/>
      <c r="H39" s="163" t="s">
        <v>74</v>
      </c>
      <c r="I39" s="164" t="s">
        <v>75</v>
      </c>
      <c r="J39" s="41"/>
      <c r="K39" s="41"/>
      <c r="L39" s="41"/>
      <c r="M39" s="41"/>
      <c r="N39" s="41"/>
      <c r="O39" s="155"/>
      <c r="P39" s="165"/>
      <c r="Q39" s="155"/>
      <c r="R39" s="7"/>
      <c r="U39" s="1"/>
      <c r="V39" s="1"/>
    </row>
    <row r="40" spans="2:22" ht="12.75" hidden="1" customHeight="1" x14ac:dyDescent="0.3">
      <c r="B40" s="161"/>
      <c r="C40" s="166"/>
      <c r="D40" s="166"/>
      <c r="E40" s="167"/>
      <c r="F40" s="6"/>
      <c r="G40" s="70"/>
      <c r="H40" s="163" t="s">
        <v>76</v>
      </c>
      <c r="I40" s="164" t="s">
        <v>77</v>
      </c>
      <c r="J40" s="41"/>
      <c r="K40" s="41"/>
      <c r="L40" s="41"/>
      <c r="M40" s="41"/>
      <c r="N40" s="41"/>
      <c r="O40" s="168"/>
      <c r="P40" s="168"/>
      <c r="Q40" s="168"/>
      <c r="R40" s="7"/>
      <c r="U40" s="1"/>
      <c r="V40" s="1"/>
    </row>
    <row r="41" spans="2:22" ht="26.25" hidden="1" customHeight="1" x14ac:dyDescent="0.3">
      <c r="B41" s="169"/>
      <c r="C41" s="446" t="s">
        <v>78</v>
      </c>
      <c r="D41" s="447"/>
      <c r="G41" s="41"/>
      <c r="H41" s="170"/>
      <c r="I41" s="41"/>
      <c r="J41" s="41"/>
      <c r="K41" s="41"/>
      <c r="L41" s="41"/>
      <c r="M41" s="41"/>
      <c r="N41" s="41"/>
      <c r="O41" s="1"/>
      <c r="P41" s="1"/>
      <c r="U41" s="1"/>
      <c r="V41" s="1"/>
    </row>
    <row r="42" spans="2:22" ht="12.75" hidden="1" customHeight="1" x14ac:dyDescent="0.3">
      <c r="B42" s="169"/>
      <c r="C42" s="171">
        <f>(D7-C37)^2/C37</f>
        <v>0.16400081360189911</v>
      </c>
      <c r="D42" s="171">
        <f>(E7-D37)^2/D37</f>
        <v>1.3768345875501738E-2</v>
      </c>
      <c r="F42" s="172"/>
      <c r="G42" s="173"/>
      <c r="H42" s="41"/>
      <c r="I42" s="41"/>
      <c r="J42" s="50"/>
      <c r="K42" s="50"/>
      <c r="L42" s="174"/>
      <c r="M42" s="41"/>
      <c r="N42" s="41"/>
      <c r="O42" s="1"/>
      <c r="P42" s="1"/>
      <c r="U42" s="1"/>
      <c r="V42" s="1"/>
    </row>
    <row r="43" spans="2:22" ht="12.75" hidden="1" customHeight="1" x14ac:dyDescent="0.3">
      <c r="B43" s="169"/>
      <c r="C43" s="171">
        <f>(D8-C38)^2/C38</f>
        <v>0.1634704704725036</v>
      </c>
      <c r="D43" s="171">
        <f>(E8-D38)^2/D38</f>
        <v>1.3723822025419273E-2</v>
      </c>
      <c r="E43" s="36"/>
      <c r="F43" s="175" t="s">
        <v>79</v>
      </c>
      <c r="G43" s="176">
        <f>C45-I37</f>
        <v>-3.4864953687188001</v>
      </c>
      <c r="H43" s="41"/>
      <c r="I43" s="41"/>
      <c r="J43" s="50"/>
      <c r="K43" s="50"/>
      <c r="L43" s="41"/>
      <c r="M43" s="41"/>
      <c r="N43" s="41"/>
      <c r="O43" s="1"/>
      <c r="P43" s="1"/>
      <c r="U43" s="1"/>
      <c r="V43" s="1"/>
    </row>
    <row r="44" spans="2:22" ht="12.75" hidden="1" customHeight="1" x14ac:dyDescent="0.3">
      <c r="B44" s="164" t="s">
        <v>80</v>
      </c>
      <c r="D44" s="177"/>
      <c r="G44" s="178" t="s">
        <v>81</v>
      </c>
      <c r="H44" s="41"/>
      <c r="I44" s="41"/>
      <c r="J44" s="50"/>
      <c r="K44" s="50"/>
      <c r="L44" s="41"/>
      <c r="M44" s="41"/>
      <c r="N44" s="41"/>
      <c r="O44" s="1"/>
      <c r="P44" s="1"/>
      <c r="U44" s="1"/>
      <c r="V44" s="1"/>
    </row>
    <row r="45" spans="2:22" ht="13.5" hidden="1" customHeight="1" x14ac:dyDescent="0.3">
      <c r="B45" s="179" t="s">
        <v>82</v>
      </c>
      <c r="C45" s="180">
        <f>SUM(C42:D43)</f>
        <v>0.3549634519753237</v>
      </c>
      <c r="D45" s="8"/>
      <c r="G45" s="178" t="s">
        <v>83</v>
      </c>
      <c r="H45" s="41"/>
      <c r="I45" s="181"/>
      <c r="J45" s="50"/>
      <c r="K45" s="50"/>
      <c r="L45" s="182"/>
      <c r="M45" s="41"/>
      <c r="N45" s="41"/>
      <c r="O45" s="1"/>
      <c r="P45" s="1"/>
      <c r="U45" s="1"/>
      <c r="V45" s="1"/>
    </row>
    <row r="46" spans="2:22" ht="12.75" hidden="1" customHeight="1" x14ac:dyDescent="0.3">
      <c r="B46" s="183" t="s">
        <v>84</v>
      </c>
      <c r="C46" s="184">
        <f>CHIDIST(C45,1)</f>
        <v>0.55131679900398045</v>
      </c>
      <c r="E46" s="8"/>
      <c r="F46" s="8"/>
      <c r="G46" s="40"/>
      <c r="H46" s="185"/>
      <c r="I46" s="40"/>
      <c r="J46" s="50"/>
      <c r="K46" s="50"/>
      <c r="L46" s="40"/>
      <c r="M46" s="41"/>
      <c r="N46" s="41"/>
      <c r="O46" s="1"/>
      <c r="P46" s="1"/>
      <c r="U46" s="1"/>
      <c r="V46" s="1"/>
    </row>
    <row r="47" spans="2:22" s="7" customFormat="1" ht="12.75" hidden="1" customHeight="1" x14ac:dyDescent="0.3">
      <c r="B47" s="59"/>
      <c r="E47" s="186"/>
      <c r="F47" s="186"/>
      <c r="G47" s="50"/>
      <c r="H47" s="50"/>
      <c r="I47" s="187"/>
      <c r="J47" s="50"/>
      <c r="K47" s="50"/>
      <c r="L47" s="50"/>
      <c r="M47" s="50"/>
      <c r="N47" s="50"/>
    </row>
    <row r="48" spans="2:22" ht="13.5" hidden="1" customHeight="1" x14ac:dyDescent="0.3">
      <c r="B48" s="42"/>
      <c r="G48" s="41"/>
      <c r="H48" s="41"/>
      <c r="I48" s="41"/>
      <c r="J48" s="50"/>
      <c r="K48" s="50"/>
      <c r="L48" s="41"/>
      <c r="M48" s="41"/>
      <c r="N48" s="41"/>
      <c r="O48" s="1"/>
      <c r="P48" s="1"/>
      <c r="U48" s="1"/>
      <c r="V48" s="1"/>
    </row>
    <row r="49" spans="1:22" ht="12.75" hidden="1" customHeight="1" x14ac:dyDescent="0.3">
      <c r="B49" s="188" t="s">
        <v>85</v>
      </c>
      <c r="C49" s="189"/>
      <c r="D49" s="189"/>
      <c r="E49" s="189"/>
      <c r="F49" s="189"/>
      <c r="G49" s="189"/>
      <c r="H49" s="190"/>
      <c r="I49" s="41"/>
      <c r="J49" s="191" t="s">
        <v>86</v>
      </c>
      <c r="K49" s="192"/>
      <c r="L49" s="193"/>
      <c r="M49" s="193"/>
      <c r="N49" s="193"/>
      <c r="O49" s="91"/>
      <c r="P49" s="1"/>
      <c r="U49" s="1"/>
      <c r="V49" s="1"/>
    </row>
    <row r="50" spans="1:22" ht="12.75" hidden="1" customHeight="1" x14ac:dyDescent="0.3">
      <c r="B50" s="194">
        <f>I2*100</f>
        <v>95</v>
      </c>
      <c r="C50" s="143"/>
      <c r="D50" s="143"/>
      <c r="E50" s="7"/>
      <c r="F50" s="7"/>
      <c r="G50" s="7"/>
      <c r="H50" s="97"/>
      <c r="I50" s="41"/>
      <c r="J50" s="195"/>
      <c r="K50" s="50"/>
      <c r="L50" s="40"/>
      <c r="M50" s="40"/>
      <c r="N50" s="40"/>
      <c r="O50" s="95"/>
      <c r="P50" s="1"/>
      <c r="U50" s="1"/>
      <c r="V50" s="1"/>
    </row>
    <row r="51" spans="1:22" ht="12.75" hidden="1" customHeight="1" x14ac:dyDescent="0.3">
      <c r="B51" s="196" t="s">
        <v>87</v>
      </c>
      <c r="C51" s="197"/>
      <c r="D51" s="197"/>
      <c r="E51" s="198">
        <f>ROUND(G14,2)</f>
        <v>1.04</v>
      </c>
      <c r="F51" s="199">
        <f>ROUND(J26,4)</f>
        <v>-3.0999999999999999E-3</v>
      </c>
      <c r="G51" s="200">
        <f>ROUND(J27,0)</f>
        <v>-322</v>
      </c>
      <c r="H51" s="201"/>
      <c r="I51" s="41"/>
      <c r="J51" s="202" t="s">
        <v>87</v>
      </c>
      <c r="K51" s="7"/>
      <c r="L51" s="7"/>
      <c r="M51" s="7"/>
      <c r="N51" s="40"/>
      <c r="O51" s="95"/>
      <c r="P51" s="1"/>
      <c r="U51" s="1"/>
      <c r="V51" s="1"/>
    </row>
    <row r="52" spans="1:22" ht="12.75" hidden="1" customHeight="1" x14ac:dyDescent="0.3">
      <c r="B52" s="196" t="s">
        <v>88</v>
      </c>
      <c r="C52" s="8"/>
      <c r="D52" s="8"/>
      <c r="E52" s="198">
        <f>ROUND(H14,2)</f>
        <v>0.91</v>
      </c>
      <c r="F52" s="199">
        <f>ROUND(L26,4)</f>
        <v>-1.3299999999999999E-2</v>
      </c>
      <c r="G52" s="200">
        <f>ROUND(L27,0)</f>
        <v>-75</v>
      </c>
      <c r="H52" s="201"/>
      <c r="I52" s="41"/>
      <c r="J52" s="202" t="s">
        <v>88</v>
      </c>
      <c r="K52" s="203" t="str">
        <f>ROUND(J21,4)*100&amp;J54</f>
        <v>7,9%</v>
      </c>
      <c r="L52" s="203" t="str">
        <f>ROUND(K21,4)*100&amp;J54</f>
        <v>7,2%</v>
      </c>
      <c r="M52" s="203" t="str">
        <f>ROUND(L21,4)*100&amp;J54</f>
        <v>8,66%</v>
      </c>
      <c r="N52" s="204" t="str">
        <f>CONCATENATE(K52," ",J51,L52," ",J55," ",M52,J53)</f>
        <v>7,9% (7,2% a 8,66%)</v>
      </c>
      <c r="O52" s="95"/>
      <c r="P52" s="1"/>
      <c r="U52" s="1"/>
      <c r="V52" s="1"/>
    </row>
    <row r="53" spans="1:22" s="6" customFormat="1" ht="12.75" hidden="1" customHeight="1" x14ac:dyDescent="0.3">
      <c r="B53" s="196" t="s">
        <v>89</v>
      </c>
      <c r="C53" s="197">
        <f>ROUND(D7,0)</f>
        <v>414</v>
      </c>
      <c r="D53" s="197">
        <f>ROUND(D8,0)</f>
        <v>399</v>
      </c>
      <c r="E53" s="198">
        <f>ROUND(I14,2)</f>
        <v>1.19</v>
      </c>
      <c r="F53" s="199">
        <f>ROUND(K26,4)</f>
        <v>7.1000000000000004E-3</v>
      </c>
      <c r="G53" s="200">
        <f>ROUND(K27,0)</f>
        <v>140</v>
      </c>
      <c r="H53" s="205">
        <f>ROUND(N32,4)</f>
        <v>8.6300000000000002E-2</v>
      </c>
      <c r="I53" s="70"/>
      <c r="J53" s="202" t="s">
        <v>89</v>
      </c>
      <c r="K53" s="206" t="str">
        <f>ROUND(J22,4)*100&amp;J54</f>
        <v>7,59%</v>
      </c>
      <c r="L53" s="206" t="str">
        <f>ROUND(K22,4)*100&amp;J54</f>
        <v>6,9%</v>
      </c>
      <c r="M53" s="206" t="str">
        <f>ROUND(L22,4)*100&amp;J54</f>
        <v>8,34%</v>
      </c>
      <c r="N53" s="204" t="str">
        <f>CONCATENATE(K53," ",J51,L53," ",J55," ",M53,J53)</f>
        <v>7,59% (6,9% a 8,34%)</v>
      </c>
      <c r="O53" s="97"/>
    </row>
    <row r="54" spans="1:22" ht="12.75" hidden="1" customHeight="1" x14ac:dyDescent="0.3">
      <c r="B54" s="196" t="s">
        <v>90</v>
      </c>
      <c r="C54" s="207" t="s">
        <v>91</v>
      </c>
      <c r="D54" s="207" t="s">
        <v>92</v>
      </c>
      <c r="E54" s="207" t="s">
        <v>17</v>
      </c>
      <c r="F54" s="207" t="s">
        <v>93</v>
      </c>
      <c r="G54" s="208" t="s">
        <v>4</v>
      </c>
      <c r="H54" s="10" t="s">
        <v>94</v>
      </c>
      <c r="I54" s="41"/>
      <c r="J54" s="202" t="s">
        <v>90</v>
      </c>
      <c r="K54" s="206" t="str">
        <f>ROUND(J23,4)*100&amp;J54</f>
        <v>7,75%</v>
      </c>
      <c r="L54" s="206" t="str">
        <f>ROUND(K23,4)*100&amp;J54</f>
        <v>7,25%</v>
      </c>
      <c r="M54" s="206" t="str">
        <f>ROUND(L23,4)*100&amp;J54</f>
        <v>8,27%</v>
      </c>
      <c r="N54" s="204" t="str">
        <f>CONCATENATE(K54," ",J51,L54," ",J55," ",M54,J53)</f>
        <v>7,75% (7,25% a 8,27%)</v>
      </c>
      <c r="O54" s="97"/>
    </row>
    <row r="55" spans="1:22" ht="12.75" hidden="1" customHeight="1" x14ac:dyDescent="0.3">
      <c r="B55" s="209" t="s">
        <v>95</v>
      </c>
      <c r="C55" s="210" t="str">
        <f>CONCATENATE(C53,B56,C21," ",B51,K52,B53)</f>
        <v>414/5240 (7,9%)</v>
      </c>
      <c r="D55" s="27" t="str">
        <f>CONCATENATE(D53,B56,C22," ",B51,K53,B53)</f>
        <v>399/5257 (7,59%)</v>
      </c>
      <c r="E55" s="210" t="str">
        <f>CONCATENATE(E51," ",B51,E52,B52,E53,B53)</f>
        <v>1,04 (0,91-1,19)</v>
      </c>
      <c r="F55" s="210" t="str">
        <f>CONCATENATE(F51*100,B54," ",B51,F52*100,B54," ",B55," ",F53*100,B54,B53)</f>
        <v>-0,31% (-1,33% a 0,71%)</v>
      </c>
      <c r="G55" s="10" t="str">
        <f>CONCATENATE(G51," ",B51,G53," ",B55," ",G52,B53)</f>
        <v>-322 (140 a -75)</v>
      </c>
      <c r="H55" s="10" t="str">
        <f>CONCATENATE(H53*100,B54)</f>
        <v>8,63%</v>
      </c>
      <c r="I55" s="41"/>
      <c r="J55" s="211" t="s">
        <v>95</v>
      </c>
      <c r="K55" s="8"/>
      <c r="L55" s="8"/>
      <c r="M55" s="8"/>
      <c r="N55" s="40"/>
      <c r="O55" s="95"/>
      <c r="P55" s="1"/>
      <c r="U55" s="1"/>
      <c r="V55" s="1"/>
    </row>
    <row r="56" spans="1:22" ht="13.5" hidden="1" customHeight="1" x14ac:dyDescent="0.3">
      <c r="B56" s="212" t="s">
        <v>96</v>
      </c>
      <c r="C56" s="117"/>
      <c r="D56" s="117"/>
      <c r="E56" s="117"/>
      <c r="F56" s="117"/>
      <c r="G56" s="213"/>
      <c r="H56" s="214"/>
      <c r="I56" s="41"/>
      <c r="J56" s="215" t="s">
        <v>96</v>
      </c>
      <c r="K56" s="117"/>
      <c r="L56" s="117"/>
      <c r="M56" s="117"/>
      <c r="N56" s="216"/>
      <c r="O56" s="115"/>
      <c r="P56" s="1"/>
      <c r="U56" s="1"/>
      <c r="V56" s="1"/>
    </row>
    <row r="57" spans="1:22" hidden="1" x14ac:dyDescent="0.3">
      <c r="B57" s="42"/>
      <c r="G57" s="41"/>
      <c r="H57" s="41"/>
      <c r="I57" s="41"/>
      <c r="J57" s="41"/>
      <c r="K57" s="41"/>
      <c r="L57" s="50"/>
      <c r="M57" s="41"/>
      <c r="N57" s="41"/>
      <c r="O57" s="1"/>
      <c r="P57" s="1"/>
      <c r="U57" s="1"/>
      <c r="V57" s="1"/>
    </row>
    <row r="58" spans="1:22" ht="27" customHeight="1" x14ac:dyDescent="0.3">
      <c r="B58" s="42"/>
      <c r="C58" s="217" t="s">
        <v>91</v>
      </c>
      <c r="D58" s="217" t="s">
        <v>92</v>
      </c>
      <c r="E58" s="218" t="str">
        <f>CONCATENATE(E54," ",B51,H2," ",B50,B54,B53)</f>
        <v>RR (IC 95%)</v>
      </c>
      <c r="F58" s="218" t="str">
        <f>CONCATENATE(F54," ",B51,H2," ",B50,B54,B53)</f>
        <v>RAR (IC 95%)</v>
      </c>
      <c r="G58" s="218" t="str">
        <f>CONCATENATE(G54," ",B51,H2," ",B50,B54,B53)</f>
        <v>NNT (IC 95%)</v>
      </c>
      <c r="H58" s="218" t="s">
        <v>58</v>
      </c>
      <c r="I58" s="219"/>
      <c r="J58" s="237" t="s">
        <v>104</v>
      </c>
      <c r="L58" s="510" t="s">
        <v>98</v>
      </c>
      <c r="M58" s="510" t="s">
        <v>99</v>
      </c>
      <c r="O58" s="218" t="s">
        <v>114</v>
      </c>
      <c r="P58" s="218" t="s">
        <v>99</v>
      </c>
      <c r="R58" s="300" t="s">
        <v>2</v>
      </c>
      <c r="S58" s="301" t="s">
        <v>3</v>
      </c>
      <c r="T58" s="302" t="s">
        <v>1</v>
      </c>
      <c r="U58" s="303" t="s">
        <v>112</v>
      </c>
      <c r="V58" s="1"/>
    </row>
    <row r="59" spans="1:22" ht="21" customHeight="1" x14ac:dyDescent="0.3">
      <c r="B59" s="42"/>
      <c r="C59" s="27" t="str">
        <f t="shared" ref="C59:H59" si="1">C55</f>
        <v>414/5240 (7,9%)</v>
      </c>
      <c r="D59" s="27" t="str">
        <f t="shared" si="1"/>
        <v>399/5257 (7,59%)</v>
      </c>
      <c r="E59" s="27" t="str">
        <f t="shared" si="1"/>
        <v>1,04 (0,91-1,19)</v>
      </c>
      <c r="F59" s="27" t="str">
        <f t="shared" si="1"/>
        <v>-0,31% (-1,33% a 0,71%)</v>
      </c>
      <c r="G59" s="27" t="str">
        <f t="shared" si="1"/>
        <v>-322 (140 a -75)</v>
      </c>
      <c r="H59" s="27" t="str">
        <f t="shared" si="1"/>
        <v>8,63%</v>
      </c>
      <c r="I59" s="220"/>
      <c r="J59" s="221">
        <f>C46</f>
        <v>0.55131679900398045</v>
      </c>
      <c r="L59" s="222">
        <f>IF((K26*L26&lt;0),J23,J21)</f>
        <v>7.7450700200057163E-2</v>
      </c>
      <c r="M59" s="222">
        <f>IF((K26*L26&lt;0),J23,J22)</f>
        <v>7.7450700200057163E-2</v>
      </c>
      <c r="O59" s="259">
        <f>L59*100</f>
        <v>7.7450700200057163</v>
      </c>
      <c r="P59" s="260">
        <f>M59*100</f>
        <v>7.7450700200057163</v>
      </c>
      <c r="R59" s="235">
        <f>Q14</f>
        <v>37.580595592644926</v>
      </c>
      <c r="S59" s="236">
        <f>R14</f>
        <v>-6.0622223803376674E-2</v>
      </c>
      <c r="T59" s="257">
        <f>S14</f>
        <v>1.4800266311584553</v>
      </c>
      <c r="U59" s="258">
        <f>R59+S59+T59</f>
        <v>39</v>
      </c>
      <c r="V59" s="178" t="str">
        <f>I4</f>
        <v>meses</v>
      </c>
    </row>
    <row r="60" spans="1:22" x14ac:dyDescent="0.3">
      <c r="B60" s="42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223"/>
    </row>
    <row r="61" spans="1:22" x14ac:dyDescent="0.3">
      <c r="A61" s="261"/>
      <c r="B61" s="292" t="s">
        <v>317</v>
      </c>
      <c r="C61" s="224"/>
      <c r="D61" s="224"/>
      <c r="E61" s="224"/>
      <c r="F61" s="224"/>
      <c r="G61" s="224"/>
      <c r="H61" s="224"/>
      <c r="I61" s="225"/>
      <c r="J61" s="226"/>
      <c r="K61" s="178"/>
      <c r="L61" s="178"/>
      <c r="M61" s="178"/>
      <c r="N61" s="178"/>
      <c r="O61" s="223"/>
    </row>
    <row r="62" spans="1:22" ht="18" customHeight="1" thickBot="1" x14ac:dyDescent="0.35">
      <c r="A62" s="261"/>
      <c r="B62" s="327" t="s">
        <v>135</v>
      </c>
      <c r="C62" s="224"/>
      <c r="D62" s="224"/>
      <c r="E62" s="224"/>
      <c r="F62" s="224"/>
      <c r="G62" s="224"/>
      <c r="H62" s="224"/>
      <c r="I62" s="225"/>
      <c r="J62" s="226"/>
      <c r="K62" s="178"/>
      <c r="L62" s="178"/>
      <c r="M62" s="178"/>
      <c r="N62" s="178"/>
      <c r="O62" s="223"/>
    </row>
    <row r="63" spans="1:22" ht="50" customHeight="1" thickBot="1" x14ac:dyDescent="0.35">
      <c r="A63" s="261"/>
      <c r="B63" s="455" t="s">
        <v>318</v>
      </c>
      <c r="C63" s="456"/>
      <c r="D63" s="456"/>
      <c r="E63" s="456"/>
      <c r="F63" s="456"/>
      <c r="G63" s="456"/>
      <c r="H63" s="457"/>
      <c r="I63" s="261"/>
      <c r="J63" s="261"/>
      <c r="K63" s="261"/>
      <c r="L63" s="261"/>
      <c r="M63" s="261"/>
      <c r="N63" s="261"/>
      <c r="O63" s="448" t="s">
        <v>116</v>
      </c>
      <c r="P63" s="449"/>
      <c r="Q63" s="261"/>
      <c r="R63" s="460" t="s">
        <v>316</v>
      </c>
      <c r="S63" s="461"/>
      <c r="T63" s="461"/>
      <c r="U63" s="462"/>
      <c r="V63" s="261"/>
    </row>
    <row r="64" spans="1:22" ht="50.5" customHeight="1" thickBot="1" x14ac:dyDescent="0.35">
      <c r="A64" s="261"/>
      <c r="B64" s="458" t="s">
        <v>148</v>
      </c>
      <c r="C64" s="298" t="s">
        <v>146</v>
      </c>
      <c r="D64" s="299" t="s">
        <v>147</v>
      </c>
      <c r="E64" s="450" t="s">
        <v>120</v>
      </c>
      <c r="F64" s="451"/>
      <c r="G64" s="451"/>
      <c r="H64" s="452"/>
      <c r="I64" s="261"/>
      <c r="J64" s="261"/>
      <c r="K64" s="261"/>
      <c r="L64" s="261"/>
      <c r="M64" s="261"/>
      <c r="N64" s="261"/>
      <c r="O64" s="453" t="s">
        <v>186</v>
      </c>
      <c r="P64" s="454"/>
      <c r="Q64" s="261"/>
      <c r="R64" s="463" t="s">
        <v>110</v>
      </c>
      <c r="S64" s="465" t="s">
        <v>111</v>
      </c>
      <c r="T64" s="467" t="s">
        <v>134</v>
      </c>
      <c r="U64" s="469" t="s">
        <v>113</v>
      </c>
      <c r="V64" s="261"/>
    </row>
    <row r="65" spans="1:27" ht="40.5" customHeight="1" thickBot="1" x14ac:dyDescent="0.35">
      <c r="A65" s="261"/>
      <c r="B65" s="459"/>
      <c r="C65" s="262" t="s">
        <v>117</v>
      </c>
      <c r="D65" s="263" t="s">
        <v>117</v>
      </c>
      <c r="E65" s="264" t="s">
        <v>109</v>
      </c>
      <c r="F65" s="265" t="s">
        <v>121</v>
      </c>
      <c r="G65" s="265" t="s">
        <v>188</v>
      </c>
      <c r="H65" s="266" t="s">
        <v>97</v>
      </c>
      <c r="I65" s="261"/>
      <c r="J65" s="267" t="s">
        <v>118</v>
      </c>
      <c r="L65" s="53" t="s">
        <v>98</v>
      </c>
      <c r="M65" s="53" t="s">
        <v>99</v>
      </c>
      <c r="N65" s="261"/>
      <c r="O65" s="325" t="s">
        <v>187</v>
      </c>
      <c r="P65" s="326" t="s">
        <v>5</v>
      </c>
      <c r="Q65" s="261"/>
      <c r="R65" s="464"/>
      <c r="S65" s="466"/>
      <c r="T65" s="468"/>
      <c r="U65" s="470"/>
      <c r="V65" s="261"/>
    </row>
    <row r="66" spans="1:27" ht="23.5" customHeight="1" x14ac:dyDescent="0.3">
      <c r="A66" s="261"/>
      <c r="B66" s="405" t="s">
        <v>127</v>
      </c>
      <c r="C66" s="247"/>
      <c r="D66" s="247"/>
      <c r="E66" s="248"/>
      <c r="F66" s="248"/>
      <c r="G66" s="248"/>
      <c r="H66" s="248"/>
      <c r="I66" s="244"/>
      <c r="J66" s="249"/>
      <c r="K66" s="250"/>
      <c r="L66" s="250"/>
      <c r="M66" s="250"/>
      <c r="N66" s="250"/>
      <c r="O66" s="250"/>
      <c r="P66" s="250"/>
      <c r="Q66" s="261"/>
      <c r="R66" s="261"/>
      <c r="S66" s="261"/>
      <c r="T66" s="261"/>
      <c r="U66" s="261"/>
      <c r="V66" s="261"/>
    </row>
    <row r="67" spans="1:27" ht="26" customHeight="1" x14ac:dyDescent="0.3">
      <c r="A67" s="261"/>
      <c r="B67" s="330" t="s">
        <v>133</v>
      </c>
      <c r="C67" s="406" t="s">
        <v>136</v>
      </c>
      <c r="D67" s="406" t="s">
        <v>137</v>
      </c>
      <c r="E67" s="406" t="s">
        <v>138</v>
      </c>
      <c r="F67" s="406" t="s">
        <v>139</v>
      </c>
      <c r="G67" s="406" t="s">
        <v>140</v>
      </c>
      <c r="H67" s="407">
        <v>8.6300000000000002E-2</v>
      </c>
      <c r="I67" s="408"/>
      <c r="J67" s="409">
        <v>0.55131679900398045</v>
      </c>
      <c r="K67" s="410"/>
      <c r="L67" s="411">
        <v>7.7450700200057163E-2</v>
      </c>
      <c r="M67" s="411">
        <v>7.7450700200057163E-2</v>
      </c>
      <c r="N67" s="410"/>
      <c r="O67" s="412">
        <v>7.7450700200057163</v>
      </c>
      <c r="P67" s="412">
        <v>7.7450700200057163</v>
      </c>
      <c r="Q67" s="413"/>
      <c r="R67" s="305">
        <v>37.580595592644926</v>
      </c>
      <c r="S67" s="309">
        <v>-6.0622223803376674E-2</v>
      </c>
      <c r="T67" s="306">
        <v>1.4800266311584553</v>
      </c>
      <c r="U67" s="339">
        <v>39</v>
      </c>
      <c r="V67" s="291" t="s">
        <v>119</v>
      </c>
      <c r="W67" s="328"/>
    </row>
    <row r="68" spans="1:27" ht="26" customHeight="1" x14ac:dyDescent="0.3">
      <c r="A68" s="261"/>
      <c r="B68" s="331" t="s">
        <v>129</v>
      </c>
      <c r="C68" s="406" t="s">
        <v>141</v>
      </c>
      <c r="D68" s="406" t="s">
        <v>142</v>
      </c>
      <c r="E68" s="406" t="s">
        <v>143</v>
      </c>
      <c r="F68" s="406" t="s">
        <v>144</v>
      </c>
      <c r="G68" s="406" t="s">
        <v>145</v>
      </c>
      <c r="H68" s="407">
        <v>2.6599999999999999E-2</v>
      </c>
      <c r="I68" s="414"/>
      <c r="J68" s="409">
        <v>0.97865545407442422</v>
      </c>
      <c r="K68" s="415"/>
      <c r="L68" s="416">
        <v>2.5340573497189673E-2</v>
      </c>
      <c r="M68" s="416">
        <v>2.5340573497189673E-2</v>
      </c>
      <c r="N68" s="415"/>
      <c r="O68" s="412">
        <v>2.5340573497189673</v>
      </c>
      <c r="P68" s="412">
        <v>2.5340573497189673</v>
      </c>
      <c r="Q68" s="413"/>
      <c r="R68" s="305">
        <v>38.508258327319297</v>
      </c>
      <c r="S68" s="309">
        <v>-1.6005377054512659E-3</v>
      </c>
      <c r="T68" s="306">
        <v>0.49334221038615184</v>
      </c>
      <c r="U68" s="339">
        <v>39</v>
      </c>
      <c r="V68" s="417" t="s">
        <v>119</v>
      </c>
      <c r="W68" s="328"/>
    </row>
    <row r="69" spans="1:27" ht="7" customHeight="1" x14ac:dyDescent="0.3">
      <c r="A69" s="261"/>
      <c r="B69" s="246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9"/>
      <c r="P69" s="419"/>
      <c r="Q69" s="413"/>
      <c r="R69" s="420"/>
      <c r="S69" s="420"/>
      <c r="T69" s="420"/>
      <c r="U69" s="421"/>
      <c r="V69" s="422"/>
      <c r="W69" s="328"/>
    </row>
    <row r="70" spans="1:27" ht="25" customHeight="1" x14ac:dyDescent="0.3">
      <c r="A70" s="261"/>
      <c r="B70" s="331" t="s">
        <v>149</v>
      </c>
      <c r="C70" s="406" t="s">
        <v>152</v>
      </c>
      <c r="D70" s="406" t="s">
        <v>153</v>
      </c>
      <c r="E70" s="406" t="s">
        <v>154</v>
      </c>
      <c r="F70" s="423" t="s">
        <v>155</v>
      </c>
      <c r="G70" s="406" t="s">
        <v>156</v>
      </c>
      <c r="H70" s="407">
        <v>0.30080000000000001</v>
      </c>
      <c r="I70" s="414"/>
      <c r="J70" s="409">
        <v>0.15048913161848587</v>
      </c>
      <c r="K70" s="415"/>
      <c r="L70" s="416">
        <v>3.6486615223397162E-2</v>
      </c>
      <c r="M70" s="416">
        <v>3.6486615223397162E-2</v>
      </c>
      <c r="N70" s="415"/>
      <c r="O70" s="424">
        <v>3.6486615223397161</v>
      </c>
      <c r="P70" s="424">
        <v>3.6486615223397161</v>
      </c>
      <c r="Q70" s="413"/>
      <c r="R70" s="305">
        <v>38.442356665122624</v>
      </c>
      <c r="S70" s="309">
        <v>-0.10261917225596706</v>
      </c>
      <c r="T70" s="306">
        <v>0.660262507133346</v>
      </c>
      <c r="U70" s="339">
        <v>39</v>
      </c>
      <c r="V70" s="417" t="s">
        <v>119</v>
      </c>
      <c r="W70" s="328"/>
    </row>
    <row r="71" spans="1:27" ht="25" customHeight="1" x14ac:dyDescent="0.3">
      <c r="A71" s="261"/>
      <c r="B71" s="331" t="s">
        <v>150</v>
      </c>
      <c r="C71" s="406" t="s">
        <v>157</v>
      </c>
      <c r="D71" s="406" t="s">
        <v>158</v>
      </c>
      <c r="E71" s="406" t="s">
        <v>159</v>
      </c>
      <c r="F71" s="423" t="s">
        <v>160</v>
      </c>
      <c r="G71" s="406" t="s">
        <v>161</v>
      </c>
      <c r="H71" s="407">
        <v>9.0300000000000005E-2</v>
      </c>
      <c r="I71" s="414"/>
      <c r="J71" s="409">
        <v>0.53455814030529047</v>
      </c>
      <c r="K71" s="415"/>
      <c r="L71" s="416">
        <v>1.8957797465942651E-2</v>
      </c>
      <c r="M71" s="416">
        <v>1.8957797465942651E-2</v>
      </c>
      <c r="N71" s="415"/>
      <c r="O71" s="424">
        <v>1.8957797465942652</v>
      </c>
      <c r="P71" s="424">
        <v>1.8957797465942652</v>
      </c>
      <c r="Q71" s="413"/>
      <c r="R71" s="305">
        <v>38.581987829386335</v>
      </c>
      <c r="S71" s="309">
        <v>3.2240818131259452E-2</v>
      </c>
      <c r="T71" s="306">
        <v>0.38577135248240446</v>
      </c>
      <c r="U71" s="339">
        <v>39</v>
      </c>
      <c r="V71" s="417" t="s">
        <v>119</v>
      </c>
      <c r="W71" s="328"/>
    </row>
    <row r="72" spans="1:27" ht="25" customHeight="1" x14ac:dyDescent="0.3">
      <c r="A72" s="261"/>
      <c r="B72" s="331" t="s">
        <v>151</v>
      </c>
      <c r="C72" s="406" t="s">
        <v>162</v>
      </c>
      <c r="D72" s="406" t="s">
        <v>163</v>
      </c>
      <c r="E72" s="406" t="s">
        <v>164</v>
      </c>
      <c r="F72" s="423" t="s">
        <v>165</v>
      </c>
      <c r="G72" s="406" t="s">
        <v>166</v>
      </c>
      <c r="H72" s="407">
        <v>5.4100000000000002E-2</v>
      </c>
      <c r="I72" s="414"/>
      <c r="J72" s="409">
        <v>0.72372491771080827</v>
      </c>
      <c r="K72" s="415"/>
      <c r="L72" s="416">
        <v>6.4589882823663902E-2</v>
      </c>
      <c r="M72" s="416">
        <v>6.4589882823663902E-2</v>
      </c>
      <c r="N72" s="415"/>
      <c r="O72" s="424">
        <v>6.4589882823663904</v>
      </c>
      <c r="P72" s="424">
        <v>6.4589882823663904</v>
      </c>
      <c r="Q72" s="413"/>
      <c r="R72" s="305">
        <v>37.690913061029498</v>
      </c>
      <c r="S72" s="309">
        <v>3.3074003836396804E-2</v>
      </c>
      <c r="T72" s="306">
        <v>1.2760129351341067</v>
      </c>
      <c r="U72" s="339">
        <v>39</v>
      </c>
      <c r="V72" s="417" t="s">
        <v>119</v>
      </c>
      <c r="W72" s="328"/>
    </row>
    <row r="73" spans="1:27" ht="36" customHeight="1" x14ac:dyDescent="0.3">
      <c r="A73" s="261"/>
      <c r="B73" s="330" t="s">
        <v>167</v>
      </c>
      <c r="C73" s="406" t="s">
        <v>168</v>
      </c>
      <c r="D73" s="406" t="s">
        <v>169</v>
      </c>
      <c r="E73" s="406" t="s">
        <v>131</v>
      </c>
      <c r="F73" s="423" t="s">
        <v>170</v>
      </c>
      <c r="G73" s="406" t="s">
        <v>171</v>
      </c>
      <c r="H73" s="407">
        <v>0.24610000000000001</v>
      </c>
      <c r="I73" s="414"/>
      <c r="J73" s="409">
        <v>0.2029271453086286</v>
      </c>
      <c r="K73" s="415"/>
      <c r="L73" s="416">
        <v>2.8008002286367534E-2</v>
      </c>
      <c r="M73" s="416">
        <v>2.8008002286367534E-2</v>
      </c>
      <c r="N73" s="415"/>
      <c r="O73" s="424">
        <v>2.8008002286367533</v>
      </c>
      <c r="P73" s="424">
        <v>2.8008002286367533</v>
      </c>
      <c r="Q73" s="413"/>
      <c r="R73" s="305">
        <v>38.333955453070935</v>
      </c>
      <c r="S73" s="309">
        <v>7.9968838350029881E-2</v>
      </c>
      <c r="T73" s="306">
        <v>0.58607570857903746</v>
      </c>
      <c r="U73" s="339">
        <v>39</v>
      </c>
      <c r="V73" s="417" t="s">
        <v>119</v>
      </c>
      <c r="W73" s="328"/>
    </row>
    <row r="74" spans="1:27" ht="23.5" customHeight="1" x14ac:dyDescent="0.3">
      <c r="A74" s="261"/>
      <c r="B74" s="405" t="s">
        <v>128</v>
      </c>
      <c r="C74" s="247"/>
      <c r="D74" s="247"/>
      <c r="E74" s="248"/>
      <c r="F74" s="248"/>
      <c r="G74" s="248"/>
      <c r="H74" s="248"/>
      <c r="I74" s="244"/>
      <c r="J74" s="249"/>
      <c r="K74" s="250"/>
      <c r="L74" s="250"/>
      <c r="M74" s="250"/>
      <c r="N74" s="250"/>
      <c r="O74" s="250"/>
      <c r="P74" s="250"/>
      <c r="Q74" s="261"/>
      <c r="R74" s="261"/>
      <c r="S74" s="261"/>
      <c r="T74" s="261"/>
      <c r="U74" s="261"/>
      <c r="V74" s="261"/>
    </row>
    <row r="75" spans="1:27" s="294" customFormat="1" ht="42.5" customHeight="1" x14ac:dyDescent="0.3">
      <c r="A75" s="293"/>
      <c r="B75" s="425" t="s">
        <v>173</v>
      </c>
      <c r="C75" s="426" t="s">
        <v>180</v>
      </c>
      <c r="D75" s="426" t="s">
        <v>181</v>
      </c>
      <c r="E75" s="426" t="s">
        <v>182</v>
      </c>
      <c r="F75" s="426" t="s">
        <v>183</v>
      </c>
      <c r="G75" s="426" t="s">
        <v>184</v>
      </c>
      <c r="H75" s="427" t="s">
        <v>185</v>
      </c>
      <c r="I75" s="408"/>
      <c r="J75" s="409">
        <v>0.81427387659476302</v>
      </c>
      <c r="K75" s="410"/>
      <c r="L75" s="411">
        <v>7.211584262170144E-2</v>
      </c>
      <c r="M75" s="411">
        <v>7.211584262170144E-2</v>
      </c>
      <c r="N75" s="410"/>
      <c r="O75" s="428">
        <v>7.2115842621701436</v>
      </c>
      <c r="P75" s="428">
        <v>7.2115842621701436</v>
      </c>
      <c r="Q75" s="413"/>
      <c r="R75" s="307">
        <v>37.628419885808384</v>
      </c>
      <c r="S75" s="310">
        <v>-2.3131698629381248E-2</v>
      </c>
      <c r="T75" s="308">
        <v>1.3947118128210005</v>
      </c>
      <c r="U75" s="304">
        <v>39</v>
      </c>
      <c r="V75" s="417" t="s">
        <v>119</v>
      </c>
      <c r="W75" s="329"/>
      <c r="X75" s="1"/>
      <c r="Y75" s="1"/>
      <c r="Z75" s="1"/>
      <c r="AA75" s="1"/>
    </row>
    <row r="76" spans="1:27" s="294" customFormat="1" ht="43" customHeight="1" x14ac:dyDescent="0.3">
      <c r="A76" s="293"/>
      <c r="B76" s="425" t="s">
        <v>172</v>
      </c>
      <c r="C76" s="426" t="s">
        <v>174</v>
      </c>
      <c r="D76" s="426" t="s">
        <v>175</v>
      </c>
      <c r="E76" s="426" t="s">
        <v>176</v>
      </c>
      <c r="F76" s="426" t="s">
        <v>177</v>
      </c>
      <c r="G76" s="426" t="s">
        <v>178</v>
      </c>
      <c r="H76" s="429" t="s">
        <v>179</v>
      </c>
      <c r="I76" s="408"/>
      <c r="J76" s="409">
        <v>0.66334996370602772</v>
      </c>
      <c r="K76" s="410"/>
      <c r="L76" s="411">
        <v>0.10784033533390493</v>
      </c>
      <c r="M76" s="411">
        <v>0.10784033533390493</v>
      </c>
      <c r="N76" s="410"/>
      <c r="O76" s="428">
        <v>10.784033533390494</v>
      </c>
      <c r="P76" s="428">
        <v>10.784033533390494</v>
      </c>
      <c r="Q76" s="413"/>
      <c r="R76" s="307">
        <v>36.974165235157194</v>
      </c>
      <c r="S76" s="310">
        <v>-5.1395594677834389E-2</v>
      </c>
      <c r="T76" s="308">
        <v>2.0772303595206392</v>
      </c>
      <c r="U76" s="304">
        <v>39</v>
      </c>
      <c r="V76" s="417" t="s">
        <v>119</v>
      </c>
      <c r="W76" s="329"/>
    </row>
    <row r="77" spans="1:27" ht="10" customHeight="1" x14ac:dyDescent="0.3">
      <c r="A77" s="261"/>
      <c r="B77" s="311"/>
      <c r="C77" s="250"/>
      <c r="D77" s="250"/>
      <c r="E77" s="250"/>
      <c r="F77" s="250"/>
      <c r="G77" s="282"/>
      <c r="H77" s="274"/>
      <c r="I77" s="283"/>
      <c r="J77" s="275"/>
      <c r="K77" s="245"/>
      <c r="L77" s="251"/>
      <c r="M77" s="251"/>
      <c r="N77" s="245"/>
      <c r="O77" s="276"/>
      <c r="P77" s="277"/>
      <c r="Q77" s="261"/>
      <c r="R77" s="284"/>
      <c r="S77" s="285"/>
      <c r="T77" s="286"/>
      <c r="U77" s="287"/>
      <c r="V77" s="245"/>
    </row>
    <row r="78" spans="1:27" ht="40" customHeight="1" x14ac:dyDescent="0.3">
      <c r="A78" s="261"/>
      <c r="B78" s="473" t="s">
        <v>189</v>
      </c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5"/>
      <c r="Q78" s="244"/>
      <c r="R78" s="244"/>
      <c r="S78" s="244"/>
      <c r="T78" s="244"/>
      <c r="U78" s="244"/>
      <c r="V78" s="244"/>
    </row>
    <row r="79" spans="1:27" ht="12" customHeight="1" x14ac:dyDescent="0.3">
      <c r="A79" s="261"/>
      <c r="B79" s="253"/>
      <c r="C79" s="250"/>
      <c r="D79" s="250"/>
      <c r="E79" s="250"/>
      <c r="F79" s="250"/>
      <c r="G79" s="282"/>
      <c r="H79" s="274"/>
      <c r="I79" s="283"/>
      <c r="J79" s="275"/>
      <c r="K79" s="245"/>
      <c r="L79" s="251"/>
      <c r="M79" s="251"/>
      <c r="N79" s="245"/>
      <c r="O79" s="276"/>
      <c r="P79" s="277"/>
      <c r="Q79" s="261"/>
      <c r="R79" s="261"/>
      <c r="S79" s="261"/>
      <c r="T79" s="261"/>
      <c r="U79" s="261"/>
      <c r="V79" s="245"/>
    </row>
    <row r="80" spans="1:27" ht="12" customHeight="1" thickBot="1" x14ac:dyDescent="0.35">
      <c r="A80" s="261"/>
      <c r="B80" s="253"/>
      <c r="C80" s="250"/>
      <c r="D80" s="250"/>
      <c r="E80" s="250"/>
      <c r="F80" s="250"/>
      <c r="G80" s="282"/>
      <c r="H80" s="274"/>
      <c r="I80" s="244"/>
      <c r="J80" s="275"/>
      <c r="K80" s="245"/>
      <c r="L80" s="251"/>
      <c r="M80" s="251"/>
      <c r="N80" s="245"/>
      <c r="O80" s="276"/>
      <c r="P80" s="277"/>
      <c r="U80" s="1"/>
      <c r="V80" s="223"/>
    </row>
    <row r="81" spans="1:22" ht="39.75" customHeight="1" thickBot="1" x14ac:dyDescent="0.35">
      <c r="A81" s="261"/>
      <c r="B81" s="324" t="s">
        <v>132</v>
      </c>
      <c r="C81" s="296"/>
      <c r="D81" s="296"/>
      <c r="E81" s="296"/>
      <c r="F81" s="296"/>
      <c r="G81" s="296"/>
      <c r="H81" s="297"/>
      <c r="I81" s="261"/>
      <c r="J81" s="261"/>
      <c r="K81" s="261"/>
      <c r="L81" s="261"/>
      <c r="M81" s="261"/>
      <c r="N81" s="261"/>
      <c r="O81" s="471" t="s">
        <v>116</v>
      </c>
      <c r="P81" s="472"/>
      <c r="U81" s="1"/>
    </row>
    <row r="82" spans="1:22" ht="38.25" customHeight="1" thickBot="1" x14ac:dyDescent="0.35">
      <c r="A82" s="261"/>
      <c r="B82" s="458" t="s">
        <v>148</v>
      </c>
      <c r="C82" s="298" t="s">
        <v>319</v>
      </c>
      <c r="D82" s="299" t="s">
        <v>147</v>
      </c>
      <c r="E82" s="478" t="s">
        <v>120</v>
      </c>
      <c r="F82" s="479"/>
      <c r="G82" s="479"/>
      <c r="H82" s="480"/>
      <c r="I82" s="261"/>
      <c r="J82" s="261"/>
      <c r="K82" s="261"/>
      <c r="L82" s="261"/>
      <c r="M82" s="261"/>
      <c r="N82" s="261"/>
      <c r="O82" s="453" t="s">
        <v>186</v>
      </c>
      <c r="P82" s="454"/>
      <c r="R82" s="278"/>
      <c r="S82" s="279"/>
      <c r="T82" s="280"/>
      <c r="U82" s="281"/>
    </row>
    <row r="83" spans="1:22" ht="31" customHeight="1" thickBot="1" x14ac:dyDescent="0.35">
      <c r="A83" s="261"/>
      <c r="B83" s="459"/>
      <c r="C83" s="262" t="s">
        <v>117</v>
      </c>
      <c r="D83" s="263" t="s">
        <v>117</v>
      </c>
      <c r="E83" s="264" t="s">
        <v>109</v>
      </c>
      <c r="F83" s="265" t="s">
        <v>121</v>
      </c>
      <c r="G83" s="265" t="s">
        <v>188</v>
      </c>
      <c r="H83" s="266" t="s">
        <v>97</v>
      </c>
      <c r="I83" s="261"/>
      <c r="J83" s="267" t="s">
        <v>118</v>
      </c>
      <c r="L83" s="53" t="s">
        <v>98</v>
      </c>
      <c r="M83" s="53" t="s">
        <v>99</v>
      </c>
      <c r="N83" s="261"/>
      <c r="O83" s="325" t="s">
        <v>187</v>
      </c>
      <c r="P83" s="326" t="s">
        <v>5</v>
      </c>
      <c r="R83" s="278"/>
      <c r="S83" s="279"/>
      <c r="T83" s="280"/>
      <c r="U83" s="281"/>
    </row>
    <row r="84" spans="1:22" ht="24.75" customHeight="1" thickBot="1" x14ac:dyDescent="0.35">
      <c r="A84" s="261"/>
      <c r="B84" s="295" t="s">
        <v>130</v>
      </c>
      <c r="C84" s="250"/>
      <c r="D84" s="250"/>
      <c r="E84" s="250"/>
      <c r="F84" s="250"/>
      <c r="G84" s="282"/>
      <c r="H84" s="274"/>
      <c r="I84" s="244"/>
      <c r="J84" s="275"/>
      <c r="K84" s="245"/>
      <c r="L84" s="251"/>
      <c r="M84" s="251"/>
      <c r="N84" s="245"/>
      <c r="O84" s="276"/>
      <c r="P84" s="277"/>
      <c r="R84" s="278"/>
      <c r="S84" s="279"/>
      <c r="T84" s="280"/>
      <c r="U84" s="281"/>
      <c r="V84" s="223"/>
    </row>
    <row r="85" spans="1:22" ht="20" customHeight="1" thickBot="1" x14ac:dyDescent="0.35">
      <c r="A85" s="261"/>
      <c r="B85" s="391" t="s">
        <v>190</v>
      </c>
      <c r="C85" s="392" t="s">
        <v>205</v>
      </c>
      <c r="D85" s="392" t="s">
        <v>206</v>
      </c>
      <c r="E85" s="392" t="s">
        <v>207</v>
      </c>
      <c r="F85" s="392" t="s">
        <v>208</v>
      </c>
      <c r="G85" s="392" t="s">
        <v>209</v>
      </c>
      <c r="H85" s="393">
        <v>0.2417</v>
      </c>
      <c r="I85" s="244"/>
      <c r="J85" s="348">
        <v>0.20793804757584666</v>
      </c>
      <c r="K85" s="245"/>
      <c r="L85" s="251">
        <v>0.3700104791845289</v>
      </c>
      <c r="M85" s="251">
        <v>0.3700104791845289</v>
      </c>
      <c r="N85" s="245"/>
      <c r="O85" s="394">
        <v>37.00104791845289</v>
      </c>
      <c r="P85" s="395">
        <v>37.00104791845289</v>
      </c>
      <c r="U85" s="1"/>
      <c r="V85" s="1"/>
    </row>
    <row r="86" spans="1:22" s="8" customFormat="1" ht="4" customHeight="1" thickBot="1" x14ac:dyDescent="0.35">
      <c r="A86" s="350"/>
      <c r="B86" s="351"/>
      <c r="C86" s="352"/>
      <c r="D86" s="352"/>
      <c r="E86" s="352"/>
      <c r="F86" s="352"/>
      <c r="G86" s="352"/>
      <c r="H86" s="353"/>
      <c r="I86" s="244"/>
      <c r="J86" s="275"/>
      <c r="K86" s="250"/>
      <c r="L86" s="354"/>
      <c r="M86" s="354"/>
      <c r="N86" s="250"/>
      <c r="O86" s="355"/>
      <c r="P86" s="355"/>
    </row>
    <row r="87" spans="1:22" ht="20" customHeight="1" x14ac:dyDescent="0.3">
      <c r="A87" s="261"/>
      <c r="B87" s="356" t="s">
        <v>191</v>
      </c>
      <c r="C87" s="357" t="s">
        <v>210</v>
      </c>
      <c r="D87" s="357" t="s">
        <v>211</v>
      </c>
      <c r="E87" s="357" t="s">
        <v>212</v>
      </c>
      <c r="F87" s="357" t="s">
        <v>213</v>
      </c>
      <c r="G87" s="357" t="s">
        <v>214</v>
      </c>
      <c r="H87" s="358">
        <v>0.41220000000000001</v>
      </c>
      <c r="I87" s="244"/>
      <c r="J87" s="349">
        <v>8.2202797701972377E-2</v>
      </c>
      <c r="K87" s="245"/>
      <c r="L87" s="251">
        <v>0.31418500523959225</v>
      </c>
      <c r="M87" s="251">
        <v>0.31418500523959225</v>
      </c>
      <c r="N87" s="245"/>
      <c r="O87" s="389">
        <v>31.418500523959224</v>
      </c>
      <c r="P87" s="390">
        <v>31.418500523959224</v>
      </c>
    </row>
    <row r="88" spans="1:22" ht="20" customHeight="1" x14ac:dyDescent="0.3">
      <c r="A88" s="261"/>
      <c r="B88" s="371" t="s">
        <v>192</v>
      </c>
      <c r="C88" s="343" t="s">
        <v>215</v>
      </c>
      <c r="D88" s="343" t="s">
        <v>216</v>
      </c>
      <c r="E88" s="343" t="s">
        <v>217</v>
      </c>
      <c r="F88" s="343" t="s">
        <v>218</v>
      </c>
      <c r="G88" s="343" t="s">
        <v>219</v>
      </c>
      <c r="H88" s="372">
        <v>0.40300000000000002</v>
      </c>
      <c r="I88" s="283"/>
      <c r="J88" s="344">
        <v>8.6468482732205532E-2</v>
      </c>
      <c r="K88" s="345"/>
      <c r="L88" s="346">
        <v>5.4301228922549296E-3</v>
      </c>
      <c r="M88" s="346">
        <v>5.4301228922549296E-3</v>
      </c>
      <c r="N88" s="345"/>
      <c r="O88" s="379">
        <v>0.54301228922549294</v>
      </c>
      <c r="P88" s="380">
        <v>0.54301228922549294</v>
      </c>
    </row>
    <row r="89" spans="1:22" ht="20" customHeight="1" thickBot="1" x14ac:dyDescent="0.35">
      <c r="A89" s="261"/>
      <c r="B89" s="373" t="s">
        <v>193</v>
      </c>
      <c r="C89" s="374" t="s">
        <v>220</v>
      </c>
      <c r="D89" s="374" t="s">
        <v>221</v>
      </c>
      <c r="E89" s="375" t="s">
        <v>222</v>
      </c>
      <c r="F89" s="374" t="s">
        <v>223</v>
      </c>
      <c r="G89" s="374" t="s">
        <v>224</v>
      </c>
      <c r="H89" s="376">
        <v>0.1273</v>
      </c>
      <c r="I89" s="283"/>
      <c r="J89" s="344">
        <v>0.41181761698684849</v>
      </c>
      <c r="K89" s="345"/>
      <c r="L89" s="346">
        <v>5.715918833952558E-4</v>
      </c>
      <c r="M89" s="346">
        <v>5.715918833952558E-4</v>
      </c>
      <c r="N89" s="345"/>
      <c r="O89" s="431">
        <v>5.7159188339525581E-2</v>
      </c>
      <c r="P89" s="432">
        <v>5.7159188339525581E-2</v>
      </c>
    </row>
    <row r="90" spans="1:22" s="8" customFormat="1" ht="4" customHeight="1" thickBot="1" x14ac:dyDescent="0.35">
      <c r="A90" s="350"/>
      <c r="B90" s="351"/>
      <c r="C90" s="352"/>
      <c r="D90" s="352"/>
      <c r="E90" s="352"/>
      <c r="F90" s="352"/>
      <c r="G90" s="352"/>
      <c r="H90" s="353"/>
      <c r="I90" s="244"/>
      <c r="J90" s="275"/>
      <c r="K90" s="250"/>
      <c r="L90" s="354"/>
      <c r="M90" s="354"/>
      <c r="N90" s="250"/>
      <c r="O90" s="355"/>
      <c r="P90" s="355"/>
    </row>
    <row r="91" spans="1:22" ht="20" customHeight="1" x14ac:dyDescent="0.3">
      <c r="A91" s="261"/>
      <c r="B91" s="356" t="s">
        <v>194</v>
      </c>
      <c r="C91" s="357" t="s">
        <v>225</v>
      </c>
      <c r="D91" s="357" t="s">
        <v>226</v>
      </c>
      <c r="E91" s="370" t="s">
        <v>227</v>
      </c>
      <c r="F91" s="357" t="s">
        <v>228</v>
      </c>
      <c r="G91" s="402" t="s">
        <v>229</v>
      </c>
      <c r="H91" s="358">
        <v>0.75729999999999997</v>
      </c>
      <c r="I91" s="244"/>
      <c r="J91" s="256">
        <v>7.8724765777888998E-3</v>
      </c>
      <c r="K91" s="245"/>
      <c r="L91" s="251">
        <v>0.27919847328244274</v>
      </c>
      <c r="M91" s="251">
        <v>0.25622978885295794</v>
      </c>
      <c r="N91" s="245"/>
      <c r="O91" s="381">
        <v>27.919847328244273</v>
      </c>
      <c r="P91" s="382">
        <v>25.622978885295794</v>
      </c>
    </row>
    <row r="92" spans="1:22" ht="20" customHeight="1" x14ac:dyDescent="0.3">
      <c r="A92" s="261"/>
      <c r="B92" s="371" t="s">
        <v>195</v>
      </c>
      <c r="C92" s="343" t="s">
        <v>230</v>
      </c>
      <c r="D92" s="343" t="s">
        <v>231</v>
      </c>
      <c r="E92" s="347" t="s">
        <v>232</v>
      </c>
      <c r="F92" s="343" t="s">
        <v>233</v>
      </c>
      <c r="G92" s="403" t="s">
        <v>234</v>
      </c>
      <c r="H92" s="372">
        <v>0.96220000000000006</v>
      </c>
      <c r="I92" s="283"/>
      <c r="J92" s="344">
        <v>1.8638517502324875E-4</v>
      </c>
      <c r="K92" s="345"/>
      <c r="L92" s="346">
        <v>3.4351145038167941E-2</v>
      </c>
      <c r="M92" s="346">
        <v>2.2256039566292563E-2</v>
      </c>
      <c r="N92" s="345"/>
      <c r="O92" s="383">
        <v>3.4351145038167941</v>
      </c>
      <c r="P92" s="384">
        <v>2.2256039566292563</v>
      </c>
    </row>
    <row r="93" spans="1:22" ht="20" customHeight="1" x14ac:dyDescent="0.3">
      <c r="A93" s="261"/>
      <c r="B93" s="371" t="s">
        <v>196</v>
      </c>
      <c r="C93" s="343" t="s">
        <v>235</v>
      </c>
      <c r="D93" s="343" t="s">
        <v>236</v>
      </c>
      <c r="E93" s="347" t="s">
        <v>237</v>
      </c>
      <c r="F93" s="343" t="s">
        <v>238</v>
      </c>
      <c r="G93" s="403" t="s">
        <v>239</v>
      </c>
      <c r="H93" s="372">
        <v>0.92230000000000001</v>
      </c>
      <c r="I93" s="283"/>
      <c r="J93" s="344">
        <v>7.2360217623865112E-4</v>
      </c>
      <c r="K93" s="345"/>
      <c r="L93" s="346">
        <v>3.0534351145038167E-2</v>
      </c>
      <c r="M93" s="346">
        <v>2.0163591401940271E-2</v>
      </c>
      <c r="N93" s="345"/>
      <c r="O93" s="383">
        <v>3.0534351145038165</v>
      </c>
      <c r="P93" s="384">
        <v>2.0163591401940271</v>
      </c>
    </row>
    <row r="94" spans="1:22" ht="20" customHeight="1" x14ac:dyDescent="0.3">
      <c r="A94" s="261"/>
      <c r="B94" s="371" t="s">
        <v>197</v>
      </c>
      <c r="C94" s="343" t="s">
        <v>240</v>
      </c>
      <c r="D94" s="343" t="s">
        <v>241</v>
      </c>
      <c r="E94" s="347" t="s">
        <v>242</v>
      </c>
      <c r="F94" s="343" t="s">
        <v>243</v>
      </c>
      <c r="G94" s="343" t="s">
        <v>244</v>
      </c>
      <c r="H94" s="372">
        <v>9.5000000000000001E-2</v>
      </c>
      <c r="I94" s="283"/>
      <c r="J94" s="344">
        <v>0.51590293247703767</v>
      </c>
      <c r="K94" s="345"/>
      <c r="L94" s="346">
        <v>2.0100981232733163E-2</v>
      </c>
      <c r="M94" s="346">
        <v>2.0100981232733163E-2</v>
      </c>
      <c r="N94" s="345"/>
      <c r="O94" s="385">
        <v>2.0100981232733162</v>
      </c>
      <c r="P94" s="386">
        <v>2.0100981232733162</v>
      </c>
    </row>
    <row r="95" spans="1:22" ht="20" customHeight="1" thickBot="1" x14ac:dyDescent="0.35">
      <c r="A95" s="261"/>
      <c r="B95" s="373" t="s">
        <v>198</v>
      </c>
      <c r="C95" s="374" t="s">
        <v>245</v>
      </c>
      <c r="D95" s="374" t="s">
        <v>246</v>
      </c>
      <c r="E95" s="375" t="s">
        <v>247</v>
      </c>
      <c r="F95" s="374" t="s">
        <v>248</v>
      </c>
      <c r="G95" s="374" t="s">
        <v>249</v>
      </c>
      <c r="H95" s="376">
        <v>0.48880000000000001</v>
      </c>
      <c r="I95" s="283"/>
      <c r="J95" s="344">
        <v>5.3362041965374529E-2</v>
      </c>
      <c r="K95" s="345"/>
      <c r="L95" s="346">
        <v>0.15499666571401352</v>
      </c>
      <c r="M95" s="346">
        <v>0.15499666571401352</v>
      </c>
      <c r="N95" s="345"/>
      <c r="O95" s="387">
        <v>15.499666571401352</v>
      </c>
      <c r="P95" s="388">
        <v>15.499666571401352</v>
      </c>
    </row>
    <row r="96" spans="1:22" s="8" customFormat="1" ht="4" customHeight="1" thickBot="1" x14ac:dyDescent="0.35">
      <c r="A96" s="350"/>
      <c r="B96" s="351"/>
      <c r="C96" s="352"/>
      <c r="D96" s="352"/>
      <c r="E96" s="352"/>
      <c r="F96" s="352"/>
      <c r="G96" s="352"/>
      <c r="H96" s="353"/>
      <c r="I96" s="244"/>
      <c r="J96" s="275"/>
      <c r="K96" s="250"/>
      <c r="L96" s="354"/>
      <c r="M96" s="354"/>
      <c r="N96" s="250"/>
      <c r="O96" s="355"/>
      <c r="P96" s="355"/>
    </row>
    <row r="97" spans="1:22" ht="20" customHeight="1" x14ac:dyDescent="0.3">
      <c r="A97" s="261"/>
      <c r="B97" s="356" t="s">
        <v>200</v>
      </c>
      <c r="C97" s="357" t="s">
        <v>250</v>
      </c>
      <c r="D97" s="357" t="s">
        <v>251</v>
      </c>
      <c r="E97" s="370" t="s">
        <v>252</v>
      </c>
      <c r="F97" s="357" t="s">
        <v>253</v>
      </c>
      <c r="G97" s="404" t="s">
        <v>254</v>
      </c>
      <c r="H97" s="358">
        <v>0.55740000000000001</v>
      </c>
      <c r="I97" s="244"/>
      <c r="J97" s="256">
        <v>3.5346215691575325E-2</v>
      </c>
      <c r="K97" s="245"/>
      <c r="L97" s="251">
        <v>4.1793893129770991E-2</v>
      </c>
      <c r="M97" s="251">
        <v>5.0408978504850675E-2</v>
      </c>
      <c r="N97" s="245"/>
      <c r="O97" s="377">
        <v>4.1793893129770989</v>
      </c>
      <c r="P97" s="378">
        <v>5.0408978504850674</v>
      </c>
    </row>
    <row r="98" spans="1:22" ht="20" customHeight="1" x14ac:dyDescent="0.3">
      <c r="A98" s="261"/>
      <c r="B98" s="371" t="s">
        <v>201</v>
      </c>
      <c r="C98" s="343" t="s">
        <v>255</v>
      </c>
      <c r="D98" s="343" t="s">
        <v>256</v>
      </c>
      <c r="E98" s="347" t="s">
        <v>257</v>
      </c>
      <c r="F98" s="343" t="s">
        <v>258</v>
      </c>
      <c r="G98" s="343" t="s">
        <v>259</v>
      </c>
      <c r="H98" s="372">
        <v>0.41389999999999999</v>
      </c>
      <c r="I98" s="283"/>
      <c r="J98" s="344">
        <v>8.1444438593956794E-2</v>
      </c>
      <c r="K98" s="345"/>
      <c r="L98" s="346">
        <v>6.0969800895493949E-3</v>
      </c>
      <c r="M98" s="346">
        <v>6.0969800895493949E-3</v>
      </c>
      <c r="N98" s="345"/>
      <c r="O98" s="379">
        <v>0.60969800895493953</v>
      </c>
      <c r="P98" s="380">
        <v>0.60969800895493953</v>
      </c>
    </row>
    <row r="99" spans="1:22" ht="20" customHeight="1" x14ac:dyDescent="0.3">
      <c r="A99" s="261"/>
      <c r="B99" s="371" t="s">
        <v>203</v>
      </c>
      <c r="C99" s="343" t="s">
        <v>260</v>
      </c>
      <c r="D99" s="343" t="s">
        <v>261</v>
      </c>
      <c r="E99" s="347" t="s">
        <v>262</v>
      </c>
      <c r="F99" s="343" t="s">
        <v>263</v>
      </c>
      <c r="G99" s="343" t="s">
        <v>264</v>
      </c>
      <c r="H99" s="372">
        <v>0.43580000000000002</v>
      </c>
      <c r="I99" s="283"/>
      <c r="J99" s="344">
        <v>7.2136214970809062E-2</v>
      </c>
      <c r="K99" s="345"/>
      <c r="L99" s="346">
        <v>6.5733066590454416E-3</v>
      </c>
      <c r="M99" s="346">
        <v>6.5733066590454416E-3</v>
      </c>
      <c r="N99" s="345"/>
      <c r="O99" s="379">
        <v>0.65733066590454414</v>
      </c>
      <c r="P99" s="380">
        <v>0.65733066590454414</v>
      </c>
    </row>
    <row r="100" spans="1:22" ht="20" customHeight="1" thickBot="1" x14ac:dyDescent="0.35">
      <c r="A100" s="261"/>
      <c r="B100" s="373" t="s">
        <v>320</v>
      </c>
      <c r="C100" s="374" t="s">
        <v>265</v>
      </c>
      <c r="D100" s="374" t="s">
        <v>266</v>
      </c>
      <c r="E100" s="375" t="s">
        <v>267</v>
      </c>
      <c r="F100" s="374" t="s">
        <v>268</v>
      </c>
      <c r="G100" s="439" t="s">
        <v>269</v>
      </c>
      <c r="H100" s="376">
        <v>0.66959999999999997</v>
      </c>
      <c r="I100" s="283"/>
      <c r="J100" s="344">
        <v>1.6451053146322871E-2</v>
      </c>
      <c r="K100" s="345"/>
      <c r="L100" s="346">
        <v>2.9580152671755726E-2</v>
      </c>
      <c r="M100" s="346">
        <v>3.8044512079132585E-2</v>
      </c>
      <c r="N100" s="345"/>
      <c r="O100" s="437">
        <v>2.9580152671755724</v>
      </c>
      <c r="P100" s="438">
        <v>3.8044512079132584</v>
      </c>
    </row>
    <row r="101" spans="1:22" s="8" customFormat="1" ht="4" customHeight="1" thickBot="1" x14ac:dyDescent="0.35">
      <c r="A101" s="350"/>
      <c r="B101" s="351"/>
      <c r="C101" s="352"/>
      <c r="D101" s="352"/>
      <c r="E101" s="352"/>
      <c r="F101" s="352"/>
      <c r="G101" s="352"/>
      <c r="H101" s="353"/>
      <c r="I101" s="244"/>
      <c r="J101" s="275"/>
      <c r="K101" s="250"/>
      <c r="L101" s="354"/>
      <c r="M101" s="354"/>
      <c r="N101" s="250"/>
      <c r="O101" s="355"/>
      <c r="P101" s="355"/>
    </row>
    <row r="102" spans="1:22" ht="20" customHeight="1" x14ac:dyDescent="0.3">
      <c r="A102" s="261"/>
      <c r="B102" s="356" t="s">
        <v>204</v>
      </c>
      <c r="C102" s="357"/>
      <c r="D102" s="357"/>
      <c r="E102" s="357"/>
      <c r="F102" s="357"/>
      <c r="G102" s="357"/>
      <c r="H102" s="358"/>
      <c r="I102" s="244"/>
      <c r="J102" s="256"/>
      <c r="K102" s="245"/>
      <c r="L102" s="251"/>
      <c r="M102" s="251"/>
      <c r="N102" s="245"/>
      <c r="O102" s="364"/>
      <c r="P102" s="365"/>
    </row>
    <row r="103" spans="1:22" ht="20" customHeight="1" x14ac:dyDescent="0.3">
      <c r="A103" s="261"/>
      <c r="B103" s="359" t="s">
        <v>270</v>
      </c>
      <c r="C103" s="252" t="s">
        <v>277</v>
      </c>
      <c r="D103" s="252" t="s">
        <v>278</v>
      </c>
      <c r="E103" s="252" t="s">
        <v>279</v>
      </c>
      <c r="F103" s="252" t="s">
        <v>280</v>
      </c>
      <c r="G103" s="252" t="s">
        <v>281</v>
      </c>
      <c r="H103" s="360">
        <v>6.1100000000000002E-2</v>
      </c>
      <c r="I103" s="244"/>
      <c r="J103" s="256">
        <v>0.67868983362889712</v>
      </c>
      <c r="K103" s="245"/>
      <c r="L103" s="251">
        <v>2.3244736591407068E-2</v>
      </c>
      <c r="M103" s="251">
        <v>2.3244736591407068E-2</v>
      </c>
      <c r="N103" s="245"/>
      <c r="O103" s="366">
        <v>2.3244736591407067</v>
      </c>
      <c r="P103" s="367">
        <v>2.3244736591407067</v>
      </c>
    </row>
    <row r="104" spans="1:22" ht="20" customHeight="1" x14ac:dyDescent="0.3">
      <c r="A104" s="261"/>
      <c r="B104" s="359" t="s">
        <v>271</v>
      </c>
      <c r="C104" s="252" t="s">
        <v>310</v>
      </c>
      <c r="D104" s="252" t="s">
        <v>311</v>
      </c>
      <c r="E104" s="252" t="s">
        <v>312</v>
      </c>
      <c r="F104" s="252" t="s">
        <v>313</v>
      </c>
      <c r="G104" s="252" t="s">
        <v>314</v>
      </c>
      <c r="H104" s="360" t="s">
        <v>315</v>
      </c>
      <c r="I104" s="244"/>
      <c r="J104" s="256">
        <v>0.79414110312531772</v>
      </c>
      <c r="K104" s="245"/>
      <c r="L104" s="251">
        <v>5.1443269505573024E-3</v>
      </c>
      <c r="M104" s="251">
        <v>5.1443269505573024E-3</v>
      </c>
      <c r="N104" s="245"/>
      <c r="O104" s="433">
        <v>0.51443269505573019</v>
      </c>
      <c r="P104" s="434">
        <v>0.51443269505573019</v>
      </c>
    </row>
    <row r="105" spans="1:22" ht="20" customHeight="1" x14ac:dyDescent="0.3">
      <c r="A105" s="261"/>
      <c r="B105" s="359" t="s">
        <v>272</v>
      </c>
      <c r="C105" s="252" t="s">
        <v>282</v>
      </c>
      <c r="D105" s="252" t="s">
        <v>283</v>
      </c>
      <c r="E105" s="252" t="s">
        <v>284</v>
      </c>
      <c r="F105" s="252" t="s">
        <v>285</v>
      </c>
      <c r="G105" s="252" t="s">
        <v>286</v>
      </c>
      <c r="H105" s="360">
        <v>8.3299999999999999E-2</v>
      </c>
      <c r="I105" s="244"/>
      <c r="J105" s="256">
        <v>0.56425458506228154</v>
      </c>
      <c r="K105" s="245"/>
      <c r="L105" s="251">
        <v>4.0868819662760791E-2</v>
      </c>
      <c r="M105" s="251">
        <v>4.0868819662760791E-2</v>
      </c>
      <c r="N105" s="245"/>
      <c r="O105" s="366">
        <v>4.0868819662760796</v>
      </c>
      <c r="P105" s="367">
        <v>4.0868819662760796</v>
      </c>
    </row>
    <row r="106" spans="1:22" ht="20" customHeight="1" x14ac:dyDescent="0.3">
      <c r="A106" s="261"/>
      <c r="B106" s="359" t="s">
        <v>273</v>
      </c>
      <c r="C106" s="252" t="s">
        <v>287</v>
      </c>
      <c r="D106" s="252" t="s">
        <v>216</v>
      </c>
      <c r="E106" s="252" t="s">
        <v>288</v>
      </c>
      <c r="F106" s="252" t="s">
        <v>289</v>
      </c>
      <c r="G106" s="430" t="s">
        <v>290</v>
      </c>
      <c r="H106" s="360">
        <v>0.94189999999999996</v>
      </c>
      <c r="I106" s="244"/>
      <c r="J106" s="256">
        <v>4.1370700393618062E-4</v>
      </c>
      <c r="K106" s="245"/>
      <c r="L106" s="251">
        <v>1.3549618320610687E-2</v>
      </c>
      <c r="M106" s="251">
        <v>6.6577896138482022E-3</v>
      </c>
      <c r="N106" s="245"/>
      <c r="O106" s="435">
        <v>1.3549618320610686</v>
      </c>
      <c r="P106" s="436">
        <v>0.66577896138482018</v>
      </c>
    </row>
    <row r="107" spans="1:22" ht="20" customHeight="1" x14ac:dyDescent="0.3">
      <c r="A107" s="261"/>
      <c r="B107" s="359" t="s">
        <v>274</v>
      </c>
      <c r="C107" s="252" t="s">
        <v>291</v>
      </c>
      <c r="D107" s="252" t="s">
        <v>292</v>
      </c>
      <c r="E107" s="252" t="s">
        <v>293</v>
      </c>
      <c r="F107" s="252" t="s">
        <v>294</v>
      </c>
      <c r="G107" s="430" t="s">
        <v>295</v>
      </c>
      <c r="H107" s="360">
        <v>0.78649999999999998</v>
      </c>
      <c r="I107" s="244"/>
      <c r="J107" s="256">
        <v>5.8842737001750861E-3</v>
      </c>
      <c r="K107" s="245"/>
      <c r="L107" s="251">
        <v>7.6335877862595417E-3</v>
      </c>
      <c r="M107" s="251">
        <v>3.6142286475175957E-3</v>
      </c>
      <c r="N107" s="245"/>
      <c r="O107" s="435">
        <v>0.76335877862595414</v>
      </c>
      <c r="P107" s="436">
        <v>0.36142286475175955</v>
      </c>
    </row>
    <row r="108" spans="1:22" ht="20" customHeight="1" x14ac:dyDescent="0.3">
      <c r="A108" s="261"/>
      <c r="B108" s="359" t="s">
        <v>321</v>
      </c>
      <c r="C108" s="252" t="s">
        <v>296</v>
      </c>
      <c r="D108" s="252" t="s">
        <v>292</v>
      </c>
      <c r="E108" s="252" t="s">
        <v>297</v>
      </c>
      <c r="F108" s="252" t="s">
        <v>298</v>
      </c>
      <c r="G108" s="430" t="s">
        <v>299</v>
      </c>
      <c r="H108" s="360">
        <v>0.90539999999999998</v>
      </c>
      <c r="I108" s="244"/>
      <c r="J108" s="256">
        <v>1.0643010514246622E-3</v>
      </c>
      <c r="K108" s="245"/>
      <c r="L108" s="251">
        <v>8.5877862595419852E-3</v>
      </c>
      <c r="M108" s="251">
        <v>3.6142286475175957E-3</v>
      </c>
      <c r="N108" s="245"/>
      <c r="O108" s="435">
        <v>0.85877862595419852</v>
      </c>
      <c r="P108" s="436">
        <v>0.36142286475175955</v>
      </c>
    </row>
    <row r="109" spans="1:22" ht="20" customHeight="1" x14ac:dyDescent="0.3">
      <c r="A109" s="261"/>
      <c r="B109" s="359" t="s">
        <v>275</v>
      </c>
      <c r="C109" s="252" t="s">
        <v>300</v>
      </c>
      <c r="D109" s="252" t="s">
        <v>301</v>
      </c>
      <c r="E109" s="252" t="s">
        <v>302</v>
      </c>
      <c r="F109" s="252" t="s">
        <v>303</v>
      </c>
      <c r="G109" s="252" t="s">
        <v>304</v>
      </c>
      <c r="H109" s="360">
        <v>0.13969999999999999</v>
      </c>
      <c r="I109" s="244"/>
      <c r="J109" s="256">
        <v>0.37973868045962367</v>
      </c>
      <c r="K109" s="245"/>
      <c r="L109" s="251">
        <v>5.2681718586262742E-2</v>
      </c>
      <c r="M109" s="251">
        <v>5.2681718586262742E-2</v>
      </c>
      <c r="N109" s="245"/>
      <c r="O109" s="366">
        <v>5.2681718586262738</v>
      </c>
      <c r="P109" s="367">
        <v>5.2681718586262738</v>
      </c>
    </row>
    <row r="110" spans="1:22" ht="20" customHeight="1" thickBot="1" x14ac:dyDescent="0.35">
      <c r="A110" s="261"/>
      <c r="B110" s="361" t="s">
        <v>276</v>
      </c>
      <c r="C110" s="362" t="s">
        <v>305</v>
      </c>
      <c r="D110" s="362" t="s">
        <v>306</v>
      </c>
      <c r="E110" s="362" t="s">
        <v>307</v>
      </c>
      <c r="F110" s="362" t="s">
        <v>308</v>
      </c>
      <c r="G110" s="362" t="s">
        <v>309</v>
      </c>
      <c r="H110" s="363">
        <v>0.2235</v>
      </c>
      <c r="I110" s="244"/>
      <c r="J110" s="256">
        <v>0.2302757043407182</v>
      </c>
      <c r="K110" s="245"/>
      <c r="L110" s="251">
        <v>2.8674859483662E-2</v>
      </c>
      <c r="M110" s="251">
        <v>2.8674859483662E-2</v>
      </c>
      <c r="N110" s="245"/>
      <c r="O110" s="368">
        <v>2.8674859483662001</v>
      </c>
      <c r="P110" s="369">
        <v>2.8674859483662001</v>
      </c>
    </row>
    <row r="111" spans="1:22" s="341" customFormat="1" ht="6.75" customHeight="1" x14ac:dyDescent="0.35">
      <c r="A111" s="340"/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U111" s="342"/>
      <c r="V111" s="342"/>
    </row>
    <row r="112" spans="1:22" s="341" customFormat="1" ht="44.25" customHeight="1" x14ac:dyDescent="0.35">
      <c r="A112" s="340"/>
      <c r="B112" s="476" t="s">
        <v>199</v>
      </c>
      <c r="C112" s="476"/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U112" s="342"/>
      <c r="V112" s="342"/>
    </row>
    <row r="113" spans="1:22" s="341" customFormat="1" ht="33" customHeight="1" x14ac:dyDescent="0.35">
      <c r="A113" s="340"/>
      <c r="B113" s="477" t="s">
        <v>202</v>
      </c>
      <c r="C113" s="477"/>
      <c r="D113" s="477"/>
      <c r="E113" s="477"/>
      <c r="F113" s="477"/>
      <c r="G113" s="477"/>
      <c r="H113" s="477"/>
      <c r="I113" s="477"/>
      <c r="J113" s="477"/>
      <c r="K113" s="477"/>
      <c r="L113" s="477"/>
      <c r="M113" s="477"/>
      <c r="N113" s="477"/>
      <c r="O113" s="477"/>
      <c r="P113" s="477"/>
      <c r="U113" s="342"/>
      <c r="V113" s="342"/>
    </row>
    <row r="114" spans="1:22" s="341" customFormat="1" ht="14.5" x14ac:dyDescent="0.35">
      <c r="A114" s="340"/>
      <c r="O114" s="342"/>
      <c r="P114" s="342"/>
      <c r="U114" s="342"/>
      <c r="V114" s="342"/>
    </row>
    <row r="115" spans="1:22" s="341" customFormat="1" ht="14.5" x14ac:dyDescent="0.35">
      <c r="O115" s="342"/>
      <c r="P115" s="342"/>
      <c r="U115" s="342"/>
      <c r="V115" s="342"/>
    </row>
    <row r="116" spans="1:22" s="341" customFormat="1" ht="14.5" x14ac:dyDescent="0.35">
      <c r="O116" s="342"/>
      <c r="P116" s="342"/>
      <c r="U116" s="342"/>
      <c r="V116" s="342"/>
    </row>
    <row r="117" spans="1:22" s="341" customFormat="1" ht="14.5" x14ac:dyDescent="0.35">
      <c r="O117" s="342"/>
      <c r="P117" s="342"/>
      <c r="U117" s="342"/>
      <c r="V117" s="342"/>
    </row>
    <row r="118" spans="1:22" s="341" customFormat="1" ht="14.5" x14ac:dyDescent="0.35">
      <c r="O118" s="342"/>
      <c r="P118" s="342"/>
      <c r="U118" s="342"/>
      <c r="V118" s="342"/>
    </row>
  </sheetData>
  <mergeCells count="20">
    <mergeCell ref="O81:P81"/>
    <mergeCell ref="B78:P78"/>
    <mergeCell ref="B112:P112"/>
    <mergeCell ref="B113:P113"/>
    <mergeCell ref="O82:P82"/>
    <mergeCell ref="B82:B83"/>
    <mergeCell ref="E82:H82"/>
    <mergeCell ref="R63:U63"/>
    <mergeCell ref="R64:R65"/>
    <mergeCell ref="S64:S65"/>
    <mergeCell ref="T64:T65"/>
    <mergeCell ref="U64:U65"/>
    <mergeCell ref="B2:F2"/>
    <mergeCell ref="B3:F3"/>
    <mergeCell ref="C41:D41"/>
    <mergeCell ref="O63:P63"/>
    <mergeCell ref="E64:H64"/>
    <mergeCell ref="O64:P64"/>
    <mergeCell ref="B63:H63"/>
    <mergeCell ref="B64:B65"/>
  </mergeCells>
  <phoneticPr fontId="22" type="noConversion"/>
  <pageMargins left="0.7" right="0.7" top="0.75" bottom="0.75" header="0.3" footer="0.3"/>
  <pageSetup paperSize="9" orientation="portrait" horizontalDpi="300" verticalDpi="300" r:id="rId1"/>
  <ignoredErrors>
    <ignoredError sqref="H75:H76 H1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 nnt-1 y 2, IncAcum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 Agustín Sánchez Robles</cp:lastModifiedBy>
  <dcterms:created xsi:type="dcterms:W3CDTF">2018-11-20T13:30:16Z</dcterms:created>
  <dcterms:modified xsi:type="dcterms:W3CDTF">2023-01-22T12:56:22Z</dcterms:modified>
</cp:coreProperties>
</file>