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30129-Galo\5-Challenges\20230113-SPARCL\"/>
    </mc:Choice>
  </mc:AlternateContent>
  <xr:revisionPtr revIDLastSave="0" documentId="13_ncr:1_{2EAD7C5B-2AED-4378-8767-36575185677A}" xr6:coauthVersionLast="36" xr6:coauthVersionMax="36" xr10:uidLastSave="{00000000-0000-0000-0000-000000000000}"/>
  <bookViews>
    <workbookView xWindow="-110" yWindow="-110" windowWidth="19420" windowHeight="10420" tabRatio="564" xr2:uid="{00000000-000D-0000-FFFF-FFFF00000000}"/>
  </bookViews>
  <sheets>
    <sheet name="Baseline" sheetId="1" r:id="rId1"/>
  </sheets>
  <definedNames>
    <definedName name="ArticleComments" localSheetId="0">Baseline!#REF!</definedName>
  </definedNames>
  <calcPr calcId="191029"/>
</workbook>
</file>

<file path=xl/calcChain.xml><?xml version="1.0" encoding="utf-8"?>
<calcChain xmlns="http://schemas.openxmlformats.org/spreadsheetml/2006/main">
  <c r="E9" i="1" l="1"/>
  <c r="C23" i="1" l="1"/>
  <c r="E52" i="1"/>
  <c r="C49" i="1"/>
  <c r="F57" i="1" s="1"/>
  <c r="F37" i="1"/>
  <c r="F36" i="1"/>
  <c r="J23" i="1"/>
  <c r="J22" i="1"/>
  <c r="D22" i="1"/>
  <c r="C22" i="1"/>
  <c r="J21" i="1"/>
  <c r="D21" i="1"/>
  <c r="E14" i="1"/>
  <c r="G9" i="1"/>
  <c r="D23" i="1" s="1"/>
  <c r="F8" i="1"/>
  <c r="C14" i="1"/>
  <c r="H14" i="1"/>
  <c r="F50" i="1" s="1"/>
  <c r="F7" i="1"/>
  <c r="C21" i="1"/>
  <c r="D52" i="1"/>
  <c r="H21" i="1" l="1"/>
  <c r="H57" i="1"/>
  <c r="F21" i="1"/>
  <c r="G57" i="1"/>
  <c r="F9" i="1"/>
  <c r="E37" i="1" s="1"/>
  <c r="E42" i="1" s="1"/>
  <c r="E21" i="1"/>
  <c r="K21" i="1" s="1"/>
  <c r="F23" i="1"/>
  <c r="F22" i="1"/>
  <c r="D14" i="1"/>
  <c r="F14" i="1" s="1"/>
  <c r="I14" i="1" s="1"/>
  <c r="M14" i="1" s="1"/>
  <c r="L14" i="1"/>
  <c r="O21" i="1"/>
  <c r="F38" i="1"/>
  <c r="E22" i="1"/>
  <c r="G22" i="1" s="1"/>
  <c r="H22" i="1"/>
  <c r="O23" i="1"/>
  <c r="E23" i="1"/>
  <c r="H23" i="1"/>
  <c r="D37" i="1"/>
  <c r="D42" i="1" s="1"/>
  <c r="D36" i="1"/>
  <c r="L51" i="1" l="1"/>
  <c r="D54" i="1" s="1"/>
  <c r="D58" i="1" s="1"/>
  <c r="E36" i="1"/>
  <c r="E41" i="1" s="1"/>
  <c r="G21" i="1"/>
  <c r="M21" i="1" s="1"/>
  <c r="N51" i="1" s="1"/>
  <c r="G14" i="1"/>
  <c r="J14" i="1" s="1"/>
  <c r="F52" i="1" s="1"/>
  <c r="F51" i="1"/>
  <c r="X21" i="1"/>
  <c r="K26" i="1"/>
  <c r="O22" i="1" s="1"/>
  <c r="O24" i="1" s="1"/>
  <c r="O25" i="1" s="1"/>
  <c r="O26" i="1" s="1"/>
  <c r="K22" i="1"/>
  <c r="L22" i="1"/>
  <c r="M52" i="1" s="1"/>
  <c r="M22" i="1"/>
  <c r="N52" i="1" s="1"/>
  <c r="R28" i="1"/>
  <c r="G23" i="1"/>
  <c r="X22" i="1"/>
  <c r="K23" i="1"/>
  <c r="L53" i="1" s="1"/>
  <c r="D38" i="1"/>
  <c r="D41" i="1"/>
  <c r="L52" i="1" l="1"/>
  <c r="E54" i="1" s="1"/>
  <c r="E58" i="1" s="1"/>
  <c r="L37" i="1"/>
  <c r="J36" i="1" s="1"/>
  <c r="L21" i="1"/>
  <c r="E38" i="1"/>
  <c r="N14" i="1"/>
  <c r="F54" i="1"/>
  <c r="F58" i="1" s="1"/>
  <c r="X23" i="1"/>
  <c r="X24" i="1" s="1"/>
  <c r="X25" i="1" s="1"/>
  <c r="O31" i="1"/>
  <c r="O32" i="1" s="1"/>
  <c r="O33" i="1" s="1"/>
  <c r="G50" i="1"/>
  <c r="K27" i="1"/>
  <c r="L26" i="1"/>
  <c r="D44" i="1"/>
  <c r="L23" i="1"/>
  <c r="M53" i="1" s="1"/>
  <c r="M23" i="1"/>
  <c r="N53" i="1" s="1"/>
  <c r="M51" i="1" l="1"/>
  <c r="O51" i="1" s="1"/>
  <c r="M26" i="1"/>
  <c r="M58" i="1" s="1"/>
  <c r="I52" i="1"/>
  <c r="I54" i="1" s="1"/>
  <c r="I58" i="1" s="1"/>
  <c r="H50" i="1"/>
  <c r="O53" i="1"/>
  <c r="L27" i="1"/>
  <c r="G52" i="1"/>
  <c r="O52" i="1"/>
  <c r="H42" i="1"/>
  <c r="D45" i="1"/>
  <c r="K58" i="1" s="1"/>
  <c r="N58" i="1" l="1"/>
  <c r="G51" i="1"/>
  <c r="G54" i="1" s="1"/>
  <c r="G58" i="1" s="1"/>
  <c r="M27" i="1"/>
  <c r="H52" i="1"/>
  <c r="H51" i="1" l="1"/>
  <c r="H54" i="1" s="1"/>
  <c r="H58" i="1" s="1"/>
</calcChain>
</file>

<file path=xl/sharedStrings.xml><?xml version="1.0" encoding="utf-8"?>
<sst xmlns="http://schemas.openxmlformats.org/spreadsheetml/2006/main" count="228" uniqueCount="207">
  <si>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</si>
  <si>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</si>
  <si>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</si>
  <si>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</si>
  <si>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</si>
  <si>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</si>
  <si>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</si>
  <si>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</si>
  <si>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</si>
  <si>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</si>
  <si>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</si>
  <si>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</si>
  <si>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</si>
  <si>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</si>
  <si>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</si>
  <si>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</si>
  <si>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</si>
  <si>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</si>
  <si>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</si>
  <si>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</si>
  <si>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</si>
  <si>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</si>
  <si>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</si>
  <si>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</si>
  <si>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</si>
  <si>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</si>
  <si>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</si>
  <si>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</si>
  <si>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</si>
  <si>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</si>
  <si>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</si>
  <si>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</si>
  <si>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</si>
  <si>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</si>
  <si>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</si>
  <si>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</si>
  <si>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</si>
  <si>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</si>
  <si>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</si>
  <si>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</si>
  <si>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</si>
  <si>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</si>
  <si>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</si>
  <si>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</si>
  <si>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</si>
  <si>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</si>
  <si>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</si>
  <si>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</si>
  <si>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</si>
  <si>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</si>
  <si>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</si>
  <si>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</si>
  <si>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</si>
  <si>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</si>
  <si>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</si>
  <si>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</si>
  <si>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</si>
  <si>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</si>
  <si>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</si>
  <si>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</si>
  <si>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</si>
  <si>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</si>
  <si>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</si>
  <si>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</si>
  <si>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</si>
  <si>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</si>
  <si>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</si>
  <si>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</si>
  <si>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</si>
  <si>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</si>
  <si>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</si>
  <si>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</si>
  <si>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</si>
  <si>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</si>
  <si>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</si>
  <si>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</si>
  <si>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</si>
  <si>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</si>
  <si>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</si>
  <si>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</si>
  <si>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</si>
  <si>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</si>
  <si>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</si>
  <si>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</si>
  <si>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</si>
  <si>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</si>
  <si>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</si>
  <si>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</si>
  <si>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</si>
  <si>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</si>
  <si>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</si>
  <si>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</si>
  <si>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</si>
  <si>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</si>
  <si>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</si>
  <si>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</si>
  <si>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</si>
  <si>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</si>
  <si>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</si>
  <si>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</si>
  <si>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valor de p para la diferencia</t>
  </si>
  <si>
    <t>Con el factor</t>
  </si>
  <si>
    <t>Sin el factor</t>
  </si>
  <si>
    <t>Las variables dicotómicas se informan en Número y Porcentaje, Nº (%). Las variables continuas en Media y Desviación Estándar, media (DE), salvo que se informen en Mediana y Rango Intercuatílico, mediana [IQR].</t>
  </si>
  <si>
    <r>
      <t>Ls1:</t>
    </r>
    <r>
      <rPr>
        <sz val="10"/>
        <rFont val="Calibri"/>
        <family val="2"/>
      </rPr>
      <t xml:space="preserve"> límite superior del grupo 1; Li2: límite inferior del grupo 2</t>
    </r>
  </si>
  <si>
    <r>
      <t xml:space="preserve">Z </t>
    </r>
    <r>
      <rPr>
        <vertAlign val="subscript"/>
        <sz val="10"/>
        <rFont val="Calibri"/>
        <family val="2"/>
      </rPr>
      <t>α/2</t>
    </r>
  </si>
  <si>
    <t>Fumador actual</t>
  </si>
  <si>
    <t>Placebo</t>
  </si>
  <si>
    <t>Amarenco P, Bogousslavsky J, Callahan A 3rd, Goldstein LB on behalf or the Stroke Prevention by Aggressive Reduction in Cholesterol Levels (SPARCL) Investigators. High-dose atorvastatin after stroke or transient ischemic attack. Engl J Med. 2006 Aug 10;355(6):549-59.</t>
  </si>
  <si>
    <r>
      <t>Atorvastatina 80 + Tto estándar; n</t>
    </r>
    <r>
      <rPr>
        <b/>
        <vertAlign val="subscript"/>
        <sz val="11"/>
        <rFont val="Calibri"/>
        <family val="2"/>
      </rPr>
      <t>i</t>
    </r>
    <r>
      <rPr>
        <b/>
        <sz val="11"/>
        <rFont val="Calibri"/>
        <family val="2"/>
      </rPr>
      <t xml:space="preserve"> = 2365</t>
    </r>
  </si>
  <si>
    <r>
      <t>Placebo + Tto estándar; n</t>
    </r>
    <r>
      <rPr>
        <b/>
        <vertAlign val="subscript"/>
        <sz val="11"/>
        <rFont val="Calibri"/>
        <family val="2"/>
      </rPr>
      <t>c</t>
    </r>
    <r>
      <rPr>
        <b/>
        <sz val="11"/>
        <rFont val="Calibri"/>
        <family val="2"/>
      </rPr>
      <t xml:space="preserve"> = 2366</t>
    </r>
  </si>
  <si>
    <t>Atorvastatina 80</t>
  </si>
  <si>
    <t>Edad, años</t>
  </si>
  <si>
    <t>Varones</t>
  </si>
  <si>
    <t>Ictus isquémico</t>
  </si>
  <si>
    <t>Ictus isquémico o hemorrágico</t>
  </si>
  <si>
    <t>Ictus hemorrágico</t>
  </si>
  <si>
    <t>Ataque Isquémico Transitorio (AIT)</t>
  </si>
  <si>
    <t>Tiipo de Ictus o Ataque Isquémico Transitorio</t>
  </si>
  <si>
    <t>Tiempo desde que ocurrió el evento de Ictus o AIT; días</t>
  </si>
  <si>
    <t>87,1 (DE 48,63)</t>
  </si>
  <si>
    <t>84,3 (DE 48,64)</t>
  </si>
  <si>
    <t>211,4 (DE 29,18)</t>
  </si>
  <si>
    <t>212,3 (DE 29,18)</t>
  </si>
  <si>
    <t>144,2 (DE 92,4)</t>
  </si>
  <si>
    <t>143,3 (DE 68,1)</t>
  </si>
  <si>
    <t>149,1 (DE 29,18)</t>
  </si>
  <si>
    <t>149,6 (DE 29,18)</t>
  </si>
  <si>
    <t>133,1 (DE 24,32)</t>
  </si>
  <si>
    <t>134,1 (DE 24,32)</t>
  </si>
  <si>
    <t>Presión arterial sistólica; mm Hg</t>
  </si>
  <si>
    <t>Presión arterisl diastólica; mm Hg</t>
  </si>
  <si>
    <t>Lípidos en sangre; mg/dl</t>
  </si>
  <si>
    <t>Colesterol total</t>
  </si>
  <si>
    <t>Triglicéridos</t>
  </si>
  <si>
    <t>Apolipoproteína A1</t>
  </si>
  <si>
    <t>Apolipoproteina B</t>
  </si>
  <si>
    <t>Colesterol LDL</t>
  </si>
  <si>
    <t>Colesterol HDL</t>
  </si>
  <si>
    <t>Factores de riesgo</t>
  </si>
  <si>
    <t>Exfumador</t>
  </si>
  <si>
    <t>Hipertensión sistémica</t>
  </si>
  <si>
    <t xml:space="preserve">Diabetes mellitus </t>
  </si>
  <si>
    <t>Terapia previa con estatinas</t>
  </si>
  <si>
    <t xml:space="preserve">IECA </t>
  </si>
  <si>
    <t>Dihidropiridinas (calcio antagonistas)</t>
  </si>
  <si>
    <t>Betabloqueantes</t>
  </si>
  <si>
    <t>ARA-II</t>
  </si>
  <si>
    <t>Antagonistas de vitamina K (incluyendo warfarina)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</si>
  <si>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 xml:space="preserve">ARA-II: </t>
    </r>
    <r>
      <rPr>
        <sz val="10"/>
        <rFont val="Calibri"/>
        <family val="2"/>
      </rPr>
      <t>antagonista del receptor de la angiotensina-II; IE</t>
    </r>
    <r>
      <rPr>
        <b/>
        <sz val="10"/>
        <rFont val="Calibri"/>
        <family val="2"/>
      </rPr>
      <t>CA:</t>
    </r>
    <r>
      <rPr>
        <sz val="10"/>
        <rFont val="Calibri"/>
        <family val="2"/>
      </rPr>
      <t xml:space="preserve"> inhibidor del enzima convertidora de la angiotensina.</t>
    </r>
  </si>
  <si>
    <r>
      <rPr>
        <b/>
        <sz val="10"/>
        <color indexed="60"/>
        <rFont val="Calibri"/>
        <family val="2"/>
      </rPr>
      <t>Suplemento 1:</t>
    </r>
    <r>
      <rPr>
        <b/>
        <sz val="10"/>
        <rFont val="Calibri"/>
        <family val="2"/>
      </rPr>
      <t xml:space="preserve"> Características sociodemográficas y clínicas en el inicio (baseline), ECA SPARCL</t>
    </r>
  </si>
  <si>
    <t>Aspirina o cualquier otro antiagregante plaquetario (excluyendo heparina)</t>
  </si>
  <si>
    <t>Cuanto más bajo, más RCV</t>
  </si>
  <si>
    <t>Cuanto más alto, más RCV</t>
  </si>
  <si>
    <t>Otras medicaciones concomitantes</t>
  </si>
  <si>
    <t>1427 (60,3%)</t>
  </si>
  <si>
    <t>452 (19,1%)</t>
  </si>
  <si>
    <t>963 (40,7%)</t>
  </si>
  <si>
    <t>1476 (62,4%)</t>
  </si>
  <si>
    <t>395 (16,7%)</t>
  </si>
  <si>
    <t>1655 (70%)</t>
  </si>
  <si>
    <t>1595 (67,4%)</t>
  </si>
  <si>
    <t>45 (1,9%)</t>
  </si>
  <si>
    <t>15 (0,6%)</t>
  </si>
  <si>
    <t>708 (29,9%)</t>
  </si>
  <si>
    <t>57 (2,4%)</t>
  </si>
  <si>
    <t>2067 (87,4%)</t>
  </si>
  <si>
    <t>683 (28,9%)</t>
  </si>
  <si>
    <t>110 (4,7%)</t>
  </si>
  <si>
    <t>350 (14,8%)</t>
  </si>
  <si>
    <t>414 (17,5%)</t>
  </si>
  <si>
    <t>139 (5,9%)</t>
  </si>
  <si>
    <t>1396 (59%)</t>
  </si>
  <si>
    <t>456 (19,3%)</t>
  </si>
  <si>
    <t>918 (38,8%)</t>
  </si>
  <si>
    <t>1452 (61,4%)</t>
  </si>
  <si>
    <t>399 (16,9%)</t>
  </si>
  <si>
    <t>1613 (68,2%)</t>
  </si>
  <si>
    <t>1559 (65,9%)</t>
  </si>
  <si>
    <t>48 (2%)</t>
  </si>
  <si>
    <t>6 (0,3%)</t>
  </si>
  <si>
    <t>752 (31,8%)</t>
  </si>
  <si>
    <t>63 (2,7%)</t>
  </si>
  <si>
    <t>2063 (87,2%)</t>
  </si>
  <si>
    <t>667 (28,2%)</t>
  </si>
  <si>
    <t>102 (4,3%)</t>
  </si>
  <si>
    <t>359 (15,2%)</t>
  </si>
  <si>
    <t>422 (17,8%)</t>
  </si>
  <si>
    <t>154 (6,5%)</t>
  </si>
  <si>
    <t>138,9 (DE 19,4)</t>
  </si>
  <si>
    <t>138,4 (DE 19,4)</t>
  </si>
  <si>
    <t>81,4 (DE 9,7)</t>
  </si>
  <si>
    <t>82 (DE 9,7)</t>
  </si>
  <si>
    <t>27,5 (DE 4,8)</t>
  </si>
  <si>
    <t>27,4 (DE 4,8)</t>
  </si>
  <si>
    <t>63 (DE 9,7)</t>
  </si>
  <si>
    <t>62,5 (DE 9,7)</t>
  </si>
  <si>
    <t>50 (DE 14,5)</t>
  </si>
  <si>
    <t>133,7 (DE 24,3)</t>
  </si>
  <si>
    <t>132,7 (DE 24,3)</t>
  </si>
  <si>
    <t>R Ref: 115 a 220 mg/dl</t>
  </si>
  <si>
    <t>R Ref:  60 a 138 mg/dl</t>
  </si>
  <si>
    <t>grupo apo de la lipoprot HDL</t>
  </si>
  <si>
    <t>grupo apo de la lipoprot LDL</t>
  </si>
  <si>
    <t>20060806-ECA SPARCL 60m, ACV ó AIT [Ato80 vs Pl], =Mort -MACE. Amarenco</t>
  </si>
  <si>
    <t>Otros tipos de ictus no determinados</t>
  </si>
  <si>
    <r>
      <t>Índice de masa corporal; Kg/m</t>
    </r>
    <r>
      <rPr>
        <vertAlign val="superscript"/>
        <sz val="10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</si>
</sst>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_-* #,##0.0000\ _€_-;\-* #,##0.0000\ _€_-;_-* &quot;-&quot;?\ _€_-;_-@_-"/>
    <numFmt numFmtId="174" formatCode="0.000"/>
    <numFmt numFmtId="175" formatCode="0.0000"/>
    <numFmt numFmtId="176" formatCode="#,##0.00_ ;\-#,##0.00\ 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60"/>
      <name val="Calibri"/>
      <family val="2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2">
    <xf numFmtId="0" fontId="0" fillId="0" borderId="0" xfId="0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2" fontId="10" fillId="0" borderId="0" xfId="0" applyNumberFormat="1" applyFont="1"/>
    <xf numFmtId="10" fontId="10" fillId="0" borderId="0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distributed"/>
    </xf>
    <xf numFmtId="0" fontId="10" fillId="0" borderId="0" xfId="0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Border="1" applyAlignment="1">
      <alignment horizontal="center"/>
    </xf>
    <xf numFmtId="18" fontId="10" fillId="0" borderId="0" xfId="1" applyNumberFormat="1" applyFont="1" applyBorder="1" applyAlignment="1">
      <alignment horizontal="center"/>
    </xf>
    <xf numFmtId="43" fontId="10" fillId="0" borderId="0" xfId="1" applyFont="1" applyFill="1" applyAlignment="1">
      <alignment horizontal="center"/>
    </xf>
    <xf numFmtId="43" fontId="10" fillId="0" borderId="0" xfId="0" applyNumberFormat="1" applyFont="1"/>
    <xf numFmtId="43" fontId="13" fillId="0" borderId="0" xfId="1" applyFont="1" applyFill="1" applyBorder="1" applyAlignment="1">
      <alignment horizontal="center"/>
    </xf>
    <xf numFmtId="43" fontId="10" fillId="0" borderId="0" xfId="1" applyFont="1" applyFill="1"/>
    <xf numFmtId="0" fontId="14" fillId="0" borderId="0" xfId="0" applyFont="1" applyFill="1"/>
    <xf numFmtId="0" fontId="10" fillId="0" borderId="0" xfId="0" applyFont="1" applyBorder="1"/>
    <xf numFmtId="43" fontId="10" fillId="0" borderId="0" xfId="1" applyFont="1" applyFill="1" applyBorder="1"/>
    <xf numFmtId="0" fontId="10" fillId="0" borderId="0" xfId="0" applyFont="1" applyBorder="1" applyAlignment="1">
      <alignment horizontal="right"/>
    </xf>
    <xf numFmtId="10" fontId="10" fillId="0" borderId="0" xfId="2" applyNumberFormat="1" applyFont="1" applyFill="1"/>
    <xf numFmtId="10" fontId="10" fillId="0" borderId="0" xfId="0" applyNumberFormat="1" applyFont="1" applyFill="1"/>
    <xf numFmtId="0" fontId="17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43" fontId="10" fillId="0" borderId="0" xfId="0" applyNumberFormat="1" applyFont="1" applyFill="1" applyBorder="1"/>
    <xf numFmtId="10" fontId="10" fillId="0" borderId="0" xfId="2" applyNumberFormat="1" applyFont="1" applyFill="1" applyBorder="1" applyAlignment="1">
      <alignment horizontal="center"/>
    </xf>
    <xf numFmtId="43" fontId="16" fillId="0" borderId="0" xfId="1" applyFont="1" applyFill="1" applyBorder="1"/>
    <xf numFmtId="0" fontId="15" fillId="0" borderId="0" xfId="0" applyFont="1" applyFill="1" applyAlignment="1">
      <alignment horizontal="center"/>
    </xf>
    <xf numFmtId="43" fontId="16" fillId="0" borderId="0" xfId="1" applyFont="1" applyFill="1" applyAlignment="1">
      <alignment horizontal="right"/>
    </xf>
    <xf numFmtId="0" fontId="16" fillId="0" borderId="0" xfId="0" applyFont="1" applyFill="1" applyBorder="1"/>
    <xf numFmtId="43" fontId="10" fillId="0" borderId="0" xfId="0" applyNumberFormat="1" applyFont="1" applyFill="1"/>
    <xf numFmtId="171" fontId="10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center"/>
    </xf>
    <xf numFmtId="169" fontId="10" fillId="0" borderId="0" xfId="1" applyNumberFormat="1" applyFont="1" applyFill="1" applyBorder="1" applyAlignment="1">
      <alignment horizontal="center"/>
    </xf>
    <xf numFmtId="43" fontId="15" fillId="0" borderId="0" xfId="1" applyFont="1" applyFill="1" applyBorder="1" applyAlignment="1"/>
    <xf numFmtId="0" fontId="10" fillId="0" borderId="0" xfId="0" applyFont="1" applyFill="1" applyBorder="1" applyAlignment="1">
      <alignment horizontal="left"/>
    </xf>
    <xf numFmtId="169" fontId="10" fillId="0" borderId="0" xfId="0" applyNumberFormat="1" applyFont="1" applyBorder="1"/>
    <xf numFmtId="0" fontId="21" fillId="0" borderId="0" xfId="0" applyFont="1" applyBorder="1"/>
    <xf numFmtId="10" fontId="10" fillId="0" borderId="0" xfId="0" applyNumberFormat="1" applyFont="1" applyFill="1" applyBorder="1"/>
    <xf numFmtId="165" fontId="10" fillId="0" borderId="0" xfId="0" applyNumberFormat="1" applyFont="1" applyFill="1" applyBorder="1"/>
    <xf numFmtId="49" fontId="10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/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1" fillId="0" borderId="3" xfId="1" applyNumberFormat="1" applyFont="1" applyFill="1" applyBorder="1"/>
    <xf numFmtId="164" fontId="12" fillId="0" borderId="3" xfId="1" applyNumberFormat="1" applyFont="1" applyFill="1" applyBorder="1"/>
    <xf numFmtId="164" fontId="11" fillId="0" borderId="0" xfId="1" applyNumberFormat="1" applyFont="1" applyFill="1" applyBorder="1"/>
    <xf numFmtId="164" fontId="12" fillId="0" borderId="0" xfId="1" applyNumberFormat="1" applyFont="1" applyFill="1" applyBorder="1"/>
    <xf numFmtId="43" fontId="25" fillId="0" borderId="3" xfId="1" applyFont="1" applyBorder="1"/>
    <xf numFmtId="0" fontId="12" fillId="0" borderId="0" xfId="0" applyFont="1" applyBorder="1" applyAlignment="1">
      <alignment horizontal="right"/>
    </xf>
    <xf numFmtId="43" fontId="10" fillId="0" borderId="0" xfId="1" applyFont="1" applyBorder="1"/>
    <xf numFmtId="0" fontId="15" fillId="0" borderId="0" xfId="0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26" fillId="0" borderId="0" xfId="0" applyFont="1"/>
    <xf numFmtId="9" fontId="10" fillId="0" borderId="0" xfId="0" applyNumberFormat="1" applyFont="1" applyBorder="1"/>
    <xf numFmtId="0" fontId="10" fillId="0" borderId="19" xfId="0" applyFont="1" applyBorder="1"/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2" fontId="10" fillId="0" borderId="3" xfId="1" applyNumberFormat="1" applyFont="1" applyBorder="1" applyAlignment="1">
      <alignment horizontal="center" vertical="center" wrapText="1"/>
    </xf>
    <xf numFmtId="2" fontId="10" fillId="0" borderId="3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0" fontId="10" fillId="0" borderId="13" xfId="0" applyFont="1" applyBorder="1"/>
    <xf numFmtId="0" fontId="10" fillId="0" borderId="13" xfId="0" applyFont="1" applyFill="1" applyBorder="1"/>
    <xf numFmtId="0" fontId="10" fillId="0" borderId="20" xfId="0" applyFont="1" applyFill="1" applyBorder="1"/>
    <xf numFmtId="0" fontId="15" fillId="0" borderId="0" xfId="0" applyFont="1" applyBorder="1" applyAlignment="1">
      <alignment horizontal="left" vertical="center"/>
    </xf>
    <xf numFmtId="164" fontId="15" fillId="0" borderId="0" xfId="1" applyNumberFormat="1" applyFont="1" applyFill="1" applyBorder="1" applyAlignment="1"/>
    <xf numFmtId="164" fontId="29" fillId="0" borderId="0" xfId="1" applyNumberFormat="1" applyFont="1" applyFill="1" applyBorder="1" applyAlignment="1"/>
    <xf numFmtId="164" fontId="28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/>
    <xf numFmtId="0" fontId="18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vertical="distributed"/>
    </xf>
    <xf numFmtId="0" fontId="10" fillId="0" borderId="3" xfId="0" applyFont="1" applyBorder="1" applyAlignment="1">
      <alignment horizontal="center" vertical="center"/>
    </xf>
    <xf numFmtId="9" fontId="10" fillId="5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165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right"/>
    </xf>
    <xf numFmtId="164" fontId="15" fillId="0" borderId="16" xfId="0" applyNumberFormat="1" applyFont="1" applyBorder="1" applyAlignment="1">
      <alignment horizontal="right"/>
    </xf>
    <xf numFmtId="164" fontId="15" fillId="0" borderId="22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4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2" applyNumberFormat="1" applyFont="1" applyFill="1" applyBorder="1" applyAlignment="1">
      <alignment horizontal="center" vertical="center" wrapText="1"/>
    </xf>
    <xf numFmtId="176" fontId="10" fillId="0" borderId="3" xfId="1" applyNumberFormat="1" applyFont="1" applyFill="1" applyBorder="1" applyAlignment="1">
      <alignment horizontal="center" vertical="center"/>
    </xf>
    <xf numFmtId="43" fontId="1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8" fontId="10" fillId="0" borderId="0" xfId="1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center" vertical="center" wrapText="1"/>
    </xf>
    <xf numFmtId="43" fontId="10" fillId="0" borderId="0" xfId="1" applyFont="1" applyBorder="1" applyAlignment="1">
      <alignment horizontal="center"/>
    </xf>
    <xf numFmtId="169" fontId="10" fillId="0" borderId="0" xfId="1" applyNumberFormat="1" applyFont="1" applyBorder="1" applyAlignment="1">
      <alignment horizontal="center"/>
    </xf>
    <xf numFmtId="10" fontId="15" fillId="0" borderId="0" xfId="2" applyNumberFormat="1" applyFont="1" applyFill="1" applyBorder="1" applyAlignment="1"/>
    <xf numFmtId="0" fontId="23" fillId="0" borderId="0" xfId="0" applyFont="1"/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wrapText="1"/>
    </xf>
    <xf numFmtId="43" fontId="19" fillId="0" borderId="13" xfId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169" fontId="10" fillId="0" borderId="13" xfId="1" applyNumberFormat="1" applyFont="1" applyFill="1" applyBorder="1" applyAlignment="1">
      <alignment horizontal="center"/>
    </xf>
    <xf numFmtId="43" fontId="10" fillId="0" borderId="13" xfId="1" applyFont="1" applyFill="1" applyBorder="1" applyAlignment="1">
      <alignment horizontal="center"/>
    </xf>
    <xf numFmtId="43" fontId="15" fillId="0" borderId="13" xfId="1" applyFont="1" applyFill="1" applyBorder="1" applyAlignment="1"/>
    <xf numFmtId="43" fontId="15" fillId="0" borderId="19" xfId="1" applyFont="1" applyFill="1" applyBorder="1" applyAlignment="1"/>
    <xf numFmtId="0" fontId="10" fillId="0" borderId="15" xfId="0" applyFont="1" applyFill="1" applyBorder="1"/>
    <xf numFmtId="1" fontId="10" fillId="0" borderId="12" xfId="0" applyNumberFormat="1" applyFont="1" applyFill="1" applyBorder="1" applyAlignment="1">
      <alignment horizontal="center" vertical="center" wrapText="1"/>
    </xf>
    <xf numFmtId="43" fontId="15" fillId="0" borderId="20" xfId="1" applyFont="1" applyFill="1" applyBorder="1" applyAlignment="1"/>
    <xf numFmtId="10" fontId="10" fillId="0" borderId="12" xfId="2" applyNumberFormat="1" applyFont="1" applyFill="1" applyBorder="1"/>
    <xf numFmtId="0" fontId="10" fillId="0" borderId="20" xfId="0" applyFont="1" applyBorder="1"/>
    <xf numFmtId="2" fontId="10" fillId="0" borderId="12" xfId="1" applyNumberFormat="1" applyFont="1" applyFill="1" applyBorder="1" applyAlignment="1">
      <alignment horizontal="center" vertical="center" wrapText="1"/>
    </xf>
    <xf numFmtId="173" fontId="10" fillId="0" borderId="12" xfId="0" applyNumberFormat="1" applyFont="1" applyBorder="1"/>
    <xf numFmtId="167" fontId="10" fillId="0" borderId="12" xfId="2" applyNumberFormat="1" applyFont="1" applyFill="1" applyBorder="1" applyAlignment="1">
      <alignment horizontal="center" vertical="center" wrapText="1"/>
    </xf>
    <xf numFmtId="165" fontId="15" fillId="0" borderId="12" xfId="1" applyNumberFormat="1" applyFont="1" applyFill="1" applyBorder="1"/>
    <xf numFmtId="174" fontId="10" fillId="0" borderId="12" xfId="0" applyNumberFormat="1" applyFont="1" applyFill="1" applyBorder="1" applyAlignment="1">
      <alignment horizontal="center" vertical="center" wrapText="1"/>
    </xf>
    <xf numFmtId="166" fontId="10" fillId="2" borderId="12" xfId="1" applyNumberFormat="1" applyFont="1" applyFill="1" applyBorder="1"/>
    <xf numFmtId="10" fontId="10" fillId="6" borderId="12" xfId="2" applyNumberFormat="1" applyFont="1" applyFill="1" applyBorder="1" applyAlignment="1">
      <alignment horizontal="center" vertical="center" wrapText="1"/>
    </xf>
    <xf numFmtId="10" fontId="20" fillId="0" borderId="12" xfId="0" applyNumberFormat="1" applyFont="1" applyBorder="1"/>
    <xf numFmtId="10" fontId="10" fillId="0" borderId="10" xfId="2" applyNumberFormat="1" applyFont="1" applyBorder="1" applyAlignment="1">
      <alignment horizontal="center" vertical="center" wrapText="1"/>
    </xf>
    <xf numFmtId="0" fontId="21" fillId="0" borderId="11" xfId="0" applyFont="1" applyBorder="1"/>
    <xf numFmtId="0" fontId="10" fillId="0" borderId="11" xfId="0" applyFont="1" applyBorder="1"/>
    <xf numFmtId="170" fontId="10" fillId="0" borderId="11" xfId="0" applyNumberFormat="1" applyFont="1" applyBorder="1"/>
    <xf numFmtId="0" fontId="10" fillId="0" borderId="22" xfId="0" applyFont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22" xfId="0" applyFont="1" applyFill="1" applyBorder="1"/>
    <xf numFmtId="2" fontId="10" fillId="0" borderId="0" xfId="0" applyNumberFormat="1" applyFont="1" applyAlignment="1">
      <alignment horizontal="center" vertical="center" wrapText="1"/>
    </xf>
    <xf numFmtId="0" fontId="10" fillId="0" borderId="13" xfId="0" applyFont="1" applyFill="1" applyBorder="1" applyAlignment="1">
      <alignment horizontal="right"/>
    </xf>
    <xf numFmtId="175" fontId="10" fillId="0" borderId="13" xfId="1" applyNumberFormat="1" applyFont="1" applyBorder="1" applyAlignment="1">
      <alignment horizontal="center" vertical="center"/>
    </xf>
    <xf numFmtId="2" fontId="10" fillId="0" borderId="13" xfId="0" applyNumberFormat="1" applyFont="1" applyBorder="1"/>
    <xf numFmtId="43" fontId="15" fillId="0" borderId="12" xfId="1" applyFont="1" applyFill="1" applyBorder="1" applyAlignment="1">
      <alignment horizontal="center" vertical="center" wrapText="1"/>
    </xf>
    <xf numFmtId="0" fontId="13" fillId="0" borderId="0" xfId="0" applyFont="1" applyFill="1" applyBorder="1"/>
    <xf numFmtId="43" fontId="10" fillId="0" borderId="0" xfId="1" applyFont="1" applyFill="1" applyBorder="1" applyAlignment="1"/>
    <xf numFmtId="0" fontId="10" fillId="0" borderId="1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43" fontId="10" fillId="0" borderId="0" xfId="0" applyNumberFormat="1" applyFont="1" applyFill="1" applyBorder="1" applyAlignment="1">
      <alignment horizontal="left" vertical="center"/>
    </xf>
    <xf numFmtId="43" fontId="10" fillId="0" borderId="11" xfId="1" applyFont="1" applyFill="1" applyBorder="1" applyAlignment="1">
      <alignment horizontal="center"/>
    </xf>
    <xf numFmtId="43" fontId="15" fillId="0" borderId="11" xfId="1" applyFont="1" applyFill="1" applyBorder="1" applyAlignment="1"/>
    <xf numFmtId="0" fontId="27" fillId="0" borderId="0" xfId="0" applyFont="1" applyFill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3" fontId="13" fillId="0" borderId="0" xfId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right" vertical="center"/>
    </xf>
    <xf numFmtId="43" fontId="10" fillId="0" borderId="3" xfId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/>
    </xf>
    <xf numFmtId="164" fontId="15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/>
    </xf>
    <xf numFmtId="164" fontId="10" fillId="0" borderId="0" xfId="1" applyNumberFormat="1" applyFont="1" applyAlignment="1">
      <alignment horizontal="center" vertical="center" wrapText="1"/>
    </xf>
    <xf numFmtId="43" fontId="15" fillId="0" borderId="0" xfId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43" fontId="10" fillId="6" borderId="0" xfId="0" applyNumberFormat="1" applyFont="1" applyFill="1" applyAlignment="1">
      <alignment horizontal="center" vertical="center" wrapText="1"/>
    </xf>
    <xf numFmtId="43" fontId="15" fillId="0" borderId="3" xfId="0" applyNumberFormat="1" applyFont="1" applyBorder="1"/>
    <xf numFmtId="43" fontId="10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165" fontId="15" fillId="6" borderId="3" xfId="1" applyNumberFormat="1" applyFont="1" applyFill="1" applyBorder="1"/>
    <xf numFmtId="169" fontId="10" fillId="0" borderId="0" xfId="0" applyNumberFormat="1" applyFont="1" applyFill="1" applyBorder="1" applyAlignment="1">
      <alignment horizontal="center" vertical="center" wrapText="1"/>
    </xf>
    <xf numFmtId="9" fontId="10" fillId="0" borderId="0" xfId="2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0" fontId="10" fillId="0" borderId="20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/>
    </xf>
    <xf numFmtId="0" fontId="10" fillId="0" borderId="12" xfId="0" applyFont="1" applyFill="1" applyBorder="1"/>
    <xf numFmtId="49" fontId="10" fillId="0" borderId="10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/>
    <xf numFmtId="0" fontId="10" fillId="0" borderId="11" xfId="0" applyFont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/>
    </xf>
    <xf numFmtId="174" fontId="10" fillId="0" borderId="3" xfId="0" applyNumberFormat="1" applyFont="1" applyBorder="1" applyAlignment="1">
      <alignment horizontal="center" vertical="center"/>
    </xf>
    <xf numFmtId="10" fontId="10" fillId="0" borderId="3" xfId="2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33" fillId="0" borderId="0" xfId="0" applyFont="1"/>
    <xf numFmtId="0" fontId="10" fillId="0" borderId="5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5" fillId="7" borderId="0" xfId="0" applyFont="1" applyFill="1" applyAlignment="1">
      <alignment vertical="center" wrapText="1"/>
    </xf>
    <xf numFmtId="0" fontId="15" fillId="7" borderId="6" xfId="0" applyFont="1" applyFill="1" applyBorder="1" applyAlignment="1">
      <alignment vertical="center" wrapText="1"/>
    </xf>
    <xf numFmtId="164" fontId="10" fillId="4" borderId="3" xfId="0" applyNumberFormat="1" applyFont="1" applyFill="1" applyBorder="1" applyAlignment="1"/>
    <xf numFmtId="164" fontId="10" fillId="0" borderId="3" xfId="0" applyNumberFormat="1" applyFont="1" applyBorder="1" applyAlignment="1"/>
    <xf numFmtId="164" fontId="10" fillId="4" borderId="3" xfId="1" applyNumberFormat="1" applyFont="1" applyFill="1" applyBorder="1" applyAlignment="1"/>
    <xf numFmtId="0" fontId="34" fillId="0" borderId="0" xfId="0" applyFont="1" applyAlignment="1">
      <alignment vertical="center"/>
    </xf>
    <xf numFmtId="171" fontId="15" fillId="0" borderId="0" xfId="1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/>
    </xf>
    <xf numFmtId="0" fontId="41" fillId="7" borderId="0" xfId="0" applyFont="1" applyFill="1" applyAlignment="1">
      <alignment vertical="center" wrapText="1"/>
    </xf>
    <xf numFmtId="0" fontId="35" fillId="7" borderId="3" xfId="0" applyFont="1" applyFill="1" applyBorder="1" applyAlignment="1">
      <alignment horizontal="center" vertical="distributed"/>
    </xf>
    <xf numFmtId="0" fontId="10" fillId="0" borderId="0" xfId="0" applyFont="1" applyFill="1" applyAlignment="1">
      <alignment horizontal="right"/>
    </xf>
    <xf numFmtId="167" fontId="10" fillId="0" borderId="0" xfId="2" applyNumberFormat="1" applyFont="1" applyFill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0" fontId="10" fillId="0" borderId="3" xfId="2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/>
    </xf>
    <xf numFmtId="43" fontId="10" fillId="0" borderId="3" xfId="1" applyFont="1" applyFill="1" applyBorder="1" applyAlignment="1">
      <alignment horizontal="center"/>
    </xf>
    <xf numFmtId="43" fontId="10" fillId="0" borderId="3" xfId="0" applyNumberFormat="1" applyFont="1" applyFill="1" applyBorder="1" applyAlignment="1">
      <alignment horizontal="center"/>
    </xf>
    <xf numFmtId="10" fontId="10" fillId="0" borderId="3" xfId="2" applyNumberFormat="1" applyFont="1" applyFill="1" applyBorder="1" applyAlignment="1"/>
    <xf numFmtId="0" fontId="10" fillId="0" borderId="0" xfId="0" applyFont="1" applyFill="1" applyAlignment="1">
      <alignment horizontal="left"/>
    </xf>
    <xf numFmtId="49" fontId="24" fillId="0" borderId="0" xfId="0" applyNumberFormat="1" applyFont="1" applyFill="1"/>
    <xf numFmtId="43" fontId="10" fillId="0" borderId="4" xfId="1" applyFont="1" applyFill="1" applyBorder="1" applyAlignment="1">
      <alignment horizontal="center" vertical="center" wrapText="1"/>
    </xf>
    <xf numFmtId="43" fontId="10" fillId="0" borderId="4" xfId="1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167" fontId="10" fillId="0" borderId="3" xfId="2" applyNumberFormat="1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left" vertical="center"/>
    </xf>
    <xf numFmtId="174" fontId="36" fillId="7" borderId="3" xfId="0" applyNumberFormat="1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1" fillId="7" borderId="0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vertical="center" wrapText="1"/>
    </xf>
    <xf numFmtId="0" fontId="37" fillId="7" borderId="0" xfId="0" applyFont="1" applyFill="1" applyBorder="1" applyAlignment="1">
      <alignment vertical="center"/>
    </xf>
    <xf numFmtId="0" fontId="41" fillId="7" borderId="0" xfId="0" applyFont="1" applyFill="1" applyBorder="1" applyAlignment="1">
      <alignment vertical="center"/>
    </xf>
    <xf numFmtId="0" fontId="35" fillId="7" borderId="3" xfId="0" applyFont="1" applyFill="1" applyBorder="1" applyAlignment="1">
      <alignment vertical="center" wrapText="1"/>
    </xf>
    <xf numFmtId="0" fontId="35" fillId="7" borderId="3" xfId="0" applyFont="1" applyFill="1" applyBorder="1" applyAlignment="1">
      <alignment vertical="center"/>
    </xf>
    <xf numFmtId="0" fontId="31" fillId="7" borderId="3" xfId="0" applyFont="1" applyFill="1" applyBorder="1" applyAlignment="1">
      <alignment horizontal="right" vertical="center"/>
    </xf>
    <xf numFmtId="174" fontId="36" fillId="7" borderId="0" xfId="0" applyNumberFormat="1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left" vertical="center" wrapText="1"/>
    </xf>
    <xf numFmtId="0" fontId="35" fillId="7" borderId="0" xfId="0" applyFont="1" applyFill="1" applyBorder="1" applyAlignment="1">
      <alignment horizontal="center" vertical="distributed"/>
    </xf>
    <xf numFmtId="174" fontId="42" fillId="7" borderId="3" xfId="0" applyNumberFormat="1" applyFont="1" applyFill="1" applyBorder="1" applyAlignment="1">
      <alignment horizontal="center" vertical="center"/>
    </xf>
    <xf numFmtId="0" fontId="37" fillId="7" borderId="3" xfId="0" applyFont="1" applyFill="1" applyBorder="1" applyAlignment="1">
      <alignment horizontal="left" vertical="center" wrapText="1"/>
    </xf>
    <xf numFmtId="10" fontId="10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distributed"/>
    </xf>
    <xf numFmtId="0" fontId="4" fillId="7" borderId="7" xfId="0" applyFont="1" applyFill="1" applyBorder="1" applyAlignment="1">
      <alignment horizontal="left" vertical="distributed"/>
    </xf>
    <xf numFmtId="0" fontId="4" fillId="7" borderId="17" xfId="0" applyFont="1" applyFill="1" applyBorder="1" applyAlignment="1">
      <alignment horizontal="left" vertical="distributed"/>
    </xf>
    <xf numFmtId="0" fontId="4" fillId="7" borderId="18" xfId="0" applyFont="1" applyFill="1" applyBorder="1" applyAlignment="1">
      <alignment horizontal="left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2</xdr:col>
      <xdr:colOff>0</xdr:colOff>
      <xdr:row>39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39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E101"/>
  <sheetViews>
    <sheetView tabSelected="1" topLeftCell="A60" zoomScale="85" zoomScaleNormal="85" workbookViewId="0">
      <selection activeCell="H70" sqref="H70"/>
    </sheetView>
  </sheetViews>
  <sheetFormatPr baseColWidth="10" defaultColWidth="11.453125" defaultRowHeight="13" x14ac:dyDescent="0.3"/>
  <cols>
    <col min="1" max="1" width="1" style="5" customWidth="1"/>
    <col min="2" max="2" width="0.6328125" style="5" customWidth="1"/>
    <col min="3" max="3" width="46.36328125" style="5" customWidth="1"/>
    <col min="4" max="4" width="20.26953125" style="5" customWidth="1"/>
    <col min="5" max="5" width="18.36328125" style="5" customWidth="1"/>
    <col min="6" max="6" width="15.54296875" style="5" customWidth="1"/>
    <col min="7" max="7" width="22" style="5" customWidth="1"/>
    <col min="8" max="8" width="16.54296875" style="5" customWidth="1"/>
    <col min="9" max="9" width="8.7265625" style="5" customWidth="1"/>
    <col min="10" max="10" width="4.54296875" style="5" customWidth="1"/>
    <col min="11" max="11" width="13.81640625" style="5" customWidth="1"/>
    <col min="12" max="12" width="2.453125" style="5" customWidth="1"/>
    <col min="13" max="14" width="14.26953125" style="5" customWidth="1"/>
    <col min="15" max="15" width="14.7265625" style="5" bestFit="1" customWidth="1"/>
    <col min="16" max="16" width="14.26953125" style="12" bestFit="1" customWidth="1"/>
    <col min="17" max="17" width="14.26953125" style="12" customWidth="1"/>
    <col min="18" max="18" width="14" style="5" bestFit="1" customWidth="1"/>
    <col min="19" max="19" width="11.54296875" style="5" bestFit="1" customWidth="1"/>
    <col min="20" max="20" width="13.81640625" style="5" bestFit="1" customWidth="1"/>
    <col min="21" max="21" width="11.453125" style="5"/>
    <col min="22" max="23" width="11.453125" style="12"/>
    <col min="24" max="16384" width="11.453125" style="5"/>
  </cols>
  <sheetData>
    <row r="1" spans="3:31" s="4" customFormat="1" ht="8.25" customHeight="1" thickBot="1" x14ac:dyDescent="0.35">
      <c r="C1" s="81"/>
      <c r="D1" s="82"/>
      <c r="E1" s="81"/>
      <c r="F1" s="83"/>
      <c r="G1" s="5"/>
      <c r="H1" s="5"/>
      <c r="I1" s="84"/>
      <c r="J1" s="84"/>
      <c r="K1" s="84"/>
      <c r="L1" s="84"/>
      <c r="M1" s="8"/>
      <c r="N1" s="13"/>
      <c r="O1" s="13"/>
      <c r="P1" s="2"/>
      <c r="Q1" s="2"/>
      <c r="R1" s="3"/>
      <c r="S1" s="2"/>
      <c r="T1" s="2"/>
      <c r="U1" s="2"/>
      <c r="V1" s="85"/>
      <c r="W1" s="85"/>
      <c r="X1" s="85"/>
      <c r="Y1" s="85"/>
      <c r="Z1" s="85"/>
      <c r="AA1" s="85"/>
      <c r="AB1" s="85"/>
      <c r="AC1" s="85"/>
      <c r="AD1" s="85"/>
    </row>
    <row r="2" spans="3:31" ht="24.75" customHeight="1" thickBot="1" x14ac:dyDescent="0.35">
      <c r="C2" s="271" t="s">
        <v>60</v>
      </c>
      <c r="D2" s="272"/>
      <c r="E2" s="272"/>
      <c r="F2" s="272"/>
      <c r="G2" s="273"/>
      <c r="H2" s="86"/>
      <c r="I2" s="87" t="s">
        <v>65</v>
      </c>
      <c r="J2" s="88">
        <v>0.95</v>
      </c>
      <c r="K2" s="86"/>
      <c r="L2" s="7"/>
      <c r="M2" s="8"/>
      <c r="N2" s="9"/>
      <c r="O2" s="9"/>
      <c r="P2" s="10"/>
      <c r="Q2" s="10"/>
      <c r="R2" s="11"/>
      <c r="S2" s="10"/>
      <c r="T2" s="10"/>
      <c r="U2" s="10"/>
      <c r="V2" s="10"/>
      <c r="W2" s="10"/>
      <c r="X2" s="10"/>
      <c r="Y2" s="12"/>
      <c r="Z2" s="12"/>
      <c r="AA2" s="12"/>
      <c r="AB2" s="12"/>
      <c r="AC2" s="12"/>
      <c r="AD2" s="12"/>
      <c r="AE2" s="12"/>
    </row>
    <row r="3" spans="3:31" ht="28.5" customHeight="1" x14ac:dyDescent="0.3">
      <c r="C3" s="274" t="s">
        <v>99</v>
      </c>
      <c r="D3" s="275"/>
      <c r="E3" s="275"/>
      <c r="F3" s="275"/>
      <c r="G3" s="276"/>
      <c r="H3" s="89"/>
      <c r="I3" s="89"/>
      <c r="J3" s="89"/>
      <c r="K3" s="89"/>
      <c r="L3" s="7"/>
      <c r="M3" s="8"/>
      <c r="N3" s="9"/>
      <c r="O3" s="9"/>
      <c r="P3" s="10"/>
      <c r="Q3" s="10"/>
      <c r="R3" s="11"/>
      <c r="S3" s="10"/>
      <c r="T3" s="10"/>
      <c r="U3" s="10"/>
      <c r="V3" s="10"/>
      <c r="W3" s="10"/>
      <c r="X3" s="10"/>
      <c r="Y3" s="12"/>
      <c r="Z3" s="12"/>
      <c r="AA3" s="12"/>
      <c r="AB3" s="12"/>
      <c r="AC3" s="12"/>
      <c r="AD3" s="12"/>
      <c r="AE3" s="12"/>
    </row>
    <row r="4" spans="3:31" ht="12.75" customHeight="1" x14ac:dyDescent="0.7">
      <c r="C4" s="67"/>
      <c r="D4" s="14"/>
      <c r="E4" s="13"/>
      <c r="F4" s="13"/>
      <c r="G4" s="6"/>
      <c r="H4" s="15"/>
      <c r="K4" s="89"/>
      <c r="L4" s="68"/>
      <c r="M4" s="16"/>
      <c r="P4" s="10"/>
      <c r="Q4" s="10"/>
      <c r="R4" s="17"/>
      <c r="S4" s="10"/>
      <c r="T4" s="10"/>
      <c r="U4" s="15"/>
      <c r="W4" s="18"/>
      <c r="X4" s="18"/>
      <c r="Y4" s="12"/>
      <c r="Z4" s="18"/>
      <c r="AA4" s="19"/>
      <c r="AB4" s="12"/>
      <c r="AC4" s="12"/>
      <c r="AD4" s="12"/>
      <c r="AE4" s="12"/>
    </row>
    <row r="5" spans="3:31" x14ac:dyDescent="0.3">
      <c r="C5" s="90" t="s">
        <v>53</v>
      </c>
      <c r="D5" s="227"/>
      <c r="E5" s="227"/>
      <c r="F5" s="227"/>
      <c r="G5" s="227"/>
      <c r="J5" s="91"/>
      <c r="K5" s="89"/>
      <c r="L5" s="91"/>
      <c r="M5" s="92"/>
      <c r="N5" s="92"/>
      <c r="O5" s="92"/>
      <c r="P5" s="10"/>
      <c r="Q5" s="10"/>
      <c r="R5" s="10"/>
      <c r="S5" s="10"/>
      <c r="T5" s="10"/>
      <c r="U5" s="15"/>
      <c r="W5" s="18"/>
      <c r="X5" s="18"/>
      <c r="Y5" s="12"/>
      <c r="Z5" s="18"/>
      <c r="AA5" s="19"/>
      <c r="AB5" s="12"/>
      <c r="AC5" s="12"/>
      <c r="AD5" s="12"/>
      <c r="AE5" s="12"/>
    </row>
    <row r="6" spans="3:31" x14ac:dyDescent="0.3">
      <c r="C6" s="71"/>
      <c r="D6" s="20"/>
      <c r="E6" s="228" t="s">
        <v>101</v>
      </c>
      <c r="F6" s="228" t="s">
        <v>102</v>
      </c>
      <c r="G6" s="228" t="s">
        <v>22</v>
      </c>
      <c r="J6" s="91"/>
      <c r="K6" s="89"/>
      <c r="L6" s="91"/>
      <c r="M6" s="92"/>
      <c r="N6" s="92"/>
      <c r="O6" s="92"/>
      <c r="P6" s="10"/>
      <c r="Q6" s="10"/>
      <c r="R6" s="10"/>
      <c r="S6" s="10"/>
      <c r="T6" s="10"/>
      <c r="U6" s="15"/>
      <c r="W6" s="18"/>
      <c r="X6" s="18"/>
      <c r="Y6" s="12"/>
      <c r="Z6" s="18"/>
      <c r="AA6" s="12"/>
      <c r="AB6" s="12"/>
      <c r="AC6" s="12"/>
      <c r="AD6" s="12"/>
      <c r="AE6" s="12"/>
    </row>
    <row r="7" spans="3:31" ht="12.75" customHeight="1" x14ac:dyDescent="0.3">
      <c r="C7" s="267"/>
      <c r="D7" s="219" t="s">
        <v>111</v>
      </c>
      <c r="E7" s="223">
        <v>708</v>
      </c>
      <c r="F7" s="224">
        <f>G7-E7</f>
        <v>1657</v>
      </c>
      <c r="G7" s="225">
        <v>2365</v>
      </c>
      <c r="I7" s="214"/>
      <c r="K7" s="215"/>
      <c r="L7" s="91"/>
      <c r="M7" s="92"/>
      <c r="N7" s="92"/>
      <c r="O7" s="92"/>
      <c r="P7" s="10"/>
      <c r="Q7" s="10"/>
      <c r="R7" s="10"/>
      <c r="S7" s="10"/>
      <c r="T7" s="10"/>
      <c r="U7" s="15"/>
      <c r="W7" s="18"/>
      <c r="X7" s="18"/>
      <c r="Y7" s="12"/>
      <c r="Z7" s="18"/>
      <c r="AA7" s="12"/>
      <c r="AB7" s="12"/>
      <c r="AC7" s="12"/>
      <c r="AD7" s="12"/>
      <c r="AE7" s="12"/>
    </row>
    <row r="8" spans="3:31" ht="12.75" customHeight="1" x14ac:dyDescent="0.3">
      <c r="C8" s="267"/>
      <c r="D8" s="219" t="s">
        <v>107</v>
      </c>
      <c r="E8" s="223">
        <v>752</v>
      </c>
      <c r="F8" s="224">
        <f>G8-E8</f>
        <v>1614</v>
      </c>
      <c r="G8" s="225">
        <v>2366</v>
      </c>
      <c r="I8" s="214"/>
      <c r="J8" s="91"/>
      <c r="K8" s="215"/>
      <c r="L8" s="91"/>
      <c r="M8" s="92"/>
      <c r="N8" s="93"/>
      <c r="O8" s="92"/>
      <c r="P8" s="10"/>
      <c r="Q8" s="10"/>
      <c r="R8" s="10"/>
      <c r="S8" s="10"/>
      <c r="T8" s="10"/>
      <c r="U8" s="15"/>
      <c r="W8" s="18"/>
      <c r="X8" s="18"/>
      <c r="Y8" s="12"/>
      <c r="Z8" s="18"/>
      <c r="AA8" s="12"/>
      <c r="AB8" s="12"/>
      <c r="AC8" s="12"/>
      <c r="AD8" s="12"/>
      <c r="AE8" s="12"/>
    </row>
    <row r="9" spans="3:31" x14ac:dyDescent="0.3">
      <c r="C9" s="71"/>
      <c r="D9" s="220" t="s">
        <v>22</v>
      </c>
      <c r="E9" s="94">
        <f>SUM(E7:E8)</f>
        <v>1460</v>
      </c>
      <c r="F9" s="95">
        <f>SUM(F7:F8)</f>
        <v>3271</v>
      </c>
      <c r="G9" s="96">
        <f>SUM(G7:G8)</f>
        <v>4731</v>
      </c>
      <c r="H9" s="91"/>
      <c r="I9" s="91"/>
      <c r="J9" s="91"/>
      <c r="K9" s="89"/>
      <c r="L9" s="91"/>
      <c r="M9" s="92"/>
      <c r="N9" s="93"/>
      <c r="O9" s="92"/>
      <c r="Q9" s="23"/>
      <c r="R9" s="24"/>
      <c r="S9" s="24"/>
      <c r="T9" s="24"/>
      <c r="U9" s="18"/>
      <c r="W9" s="18"/>
      <c r="X9" s="18"/>
      <c r="Y9" s="12"/>
      <c r="Z9" s="18"/>
      <c r="AA9" s="12"/>
      <c r="AB9" s="12"/>
      <c r="AC9" s="12"/>
      <c r="AD9" s="12"/>
      <c r="AE9" s="12"/>
    </row>
    <row r="10" spans="3:31" ht="12.75" hidden="1" customHeight="1" x14ac:dyDescent="0.3">
      <c r="C10" s="71"/>
      <c r="D10" s="25"/>
      <c r="E10" s="26"/>
      <c r="F10" s="22"/>
      <c r="G10" s="22"/>
      <c r="H10" s="92"/>
      <c r="I10" s="92"/>
      <c r="J10" s="91"/>
      <c r="K10" s="91"/>
      <c r="L10" s="91"/>
      <c r="M10" s="92"/>
      <c r="N10" s="93"/>
      <c r="O10" s="92"/>
      <c r="Q10" s="23"/>
      <c r="R10" s="24"/>
      <c r="S10" s="24"/>
      <c r="T10" s="24"/>
      <c r="U10" s="18"/>
      <c r="W10" s="18"/>
      <c r="X10" s="18"/>
      <c r="Y10" s="12"/>
      <c r="Z10" s="18"/>
      <c r="AA10" s="12"/>
      <c r="AB10" s="12"/>
      <c r="AC10" s="12"/>
      <c r="AD10" s="12"/>
      <c r="AE10" s="12"/>
    </row>
    <row r="11" spans="3:31" s="4" customFormat="1" ht="14.25" hidden="1" customHeight="1" x14ac:dyDescent="0.3">
      <c r="C11" s="97" t="s">
        <v>66</v>
      </c>
      <c r="D11" s="27"/>
      <c r="E11" s="28"/>
      <c r="F11" s="2"/>
      <c r="G11" s="21"/>
      <c r="H11" s="98"/>
      <c r="I11" s="93"/>
      <c r="J11" s="98"/>
      <c r="K11" s="93"/>
      <c r="L11" s="99"/>
      <c r="M11" s="99"/>
      <c r="N11" s="98"/>
      <c r="O11" s="99"/>
      <c r="Q11" s="2"/>
      <c r="R11" s="30"/>
      <c r="S11" s="30"/>
      <c r="T11" s="30"/>
      <c r="U11" s="2"/>
      <c r="V11" s="2"/>
      <c r="W11" s="2"/>
      <c r="X11" s="2"/>
    </row>
    <row r="12" spans="3:31" s="4" customFormat="1" ht="12.75" hidden="1" customHeight="1" x14ac:dyDescent="0.3">
      <c r="C12" s="71" t="s">
        <v>61</v>
      </c>
      <c r="D12" s="27"/>
      <c r="E12" s="28"/>
      <c r="F12" s="2"/>
      <c r="G12" s="21"/>
      <c r="H12" s="98"/>
      <c r="I12" s="93"/>
      <c r="J12" s="98"/>
      <c r="K12" s="93"/>
      <c r="L12" s="100"/>
      <c r="M12" s="99"/>
      <c r="N12" s="99"/>
      <c r="O12" s="99"/>
      <c r="Q12" s="2"/>
      <c r="R12" s="3"/>
      <c r="S12" s="3"/>
      <c r="T12" s="3"/>
      <c r="U12" s="2"/>
      <c r="V12" s="2"/>
      <c r="W12" s="2"/>
      <c r="X12" s="2"/>
    </row>
    <row r="13" spans="3:31" s="4" customFormat="1" ht="45" hidden="1" customHeight="1" x14ac:dyDescent="0.3">
      <c r="C13" s="162" t="s">
        <v>25</v>
      </c>
      <c r="D13" s="162" t="s">
        <v>62</v>
      </c>
      <c r="E13" s="162" t="s">
        <v>105</v>
      </c>
      <c r="F13" s="162" t="s">
        <v>63</v>
      </c>
      <c r="G13" s="162" t="s">
        <v>64</v>
      </c>
      <c r="H13" s="162" t="s">
        <v>4</v>
      </c>
      <c r="I13" s="162" t="s">
        <v>67</v>
      </c>
      <c r="J13" s="162" t="s">
        <v>68</v>
      </c>
      <c r="K13" s="93"/>
      <c r="L13" s="246" t="s">
        <v>43</v>
      </c>
      <c r="M13" s="247" t="s">
        <v>0</v>
      </c>
      <c r="N13" s="247" t="s">
        <v>1</v>
      </c>
      <c r="O13" s="99"/>
      <c r="Q13" s="2"/>
      <c r="R13" s="2"/>
      <c r="S13" s="2"/>
      <c r="T13" s="2"/>
      <c r="U13" s="2"/>
      <c r="V13" s="2"/>
      <c r="W13" s="2"/>
      <c r="X13" s="2"/>
    </row>
    <row r="14" spans="3:31" s="4" customFormat="1" ht="12.75" hidden="1" customHeight="1" x14ac:dyDescent="0.3">
      <c r="C14" s="74">
        <f>LN((E7/G7)/(E8/G8))</f>
        <v>-5.9869486643821239E-2</v>
      </c>
      <c r="D14" s="74">
        <f>SQRT((F7/(E7*G7)+(F8/(E8*G8))))</f>
        <v>4.3551456494507687E-2</v>
      </c>
      <c r="E14" s="101">
        <f>-NORMSINV((1-J2)/2)</f>
        <v>1.9599639845400536</v>
      </c>
      <c r="F14" s="75">
        <f>C14-(E14*D14)</f>
        <v>-0.14522877284731933</v>
      </c>
      <c r="G14" s="76">
        <f>C14+(E14*D14)</f>
        <v>2.5489799559676847E-2</v>
      </c>
      <c r="H14" s="248">
        <f>(E7/G7)/(E8/G8)</f>
        <v>0.94188745445549016</v>
      </c>
      <c r="I14" s="248">
        <f>EXP(F14)</f>
        <v>0.86482442213236821</v>
      </c>
      <c r="J14" s="248">
        <f>EXP(G14)</f>
        <v>1.0258174424274729</v>
      </c>
      <c r="K14" s="93"/>
      <c r="L14" s="249">
        <f>1-H14</f>
        <v>5.8112545544509842E-2</v>
      </c>
      <c r="M14" s="248">
        <f>1-I14</f>
        <v>0.13517557786763179</v>
      </c>
      <c r="N14" s="248">
        <f>1-J14</f>
        <v>-2.5817442427472859E-2</v>
      </c>
      <c r="O14" s="102"/>
      <c r="Q14" s="2"/>
      <c r="R14" s="2"/>
      <c r="S14" s="2"/>
      <c r="T14" s="2"/>
      <c r="U14" s="2"/>
      <c r="V14" s="2"/>
      <c r="W14" s="2"/>
      <c r="X14" s="2"/>
    </row>
    <row r="15" spans="3:31" s="4" customFormat="1" ht="12.75" hidden="1" customHeight="1" x14ac:dyDescent="0.3">
      <c r="C15" s="103"/>
      <c r="D15" s="27"/>
      <c r="E15" s="27"/>
      <c r="F15" s="27"/>
      <c r="G15" s="31"/>
      <c r="H15" s="104"/>
      <c r="I15" s="93"/>
      <c r="J15" s="98"/>
      <c r="K15" s="93"/>
      <c r="L15" s="98"/>
      <c r="M15" s="98"/>
      <c r="N15" s="98"/>
      <c r="O15" s="99"/>
      <c r="Q15" s="2"/>
      <c r="R15" s="2"/>
      <c r="S15" s="2"/>
      <c r="T15" s="2"/>
      <c r="U15" s="2"/>
      <c r="V15" s="2"/>
      <c r="W15" s="2"/>
      <c r="X15" s="2"/>
    </row>
    <row r="16" spans="3:31" s="12" customFormat="1" ht="12.75" hidden="1" customHeight="1" x14ac:dyDescent="0.3">
      <c r="C16" s="70"/>
      <c r="D16" s="32"/>
      <c r="E16" s="33"/>
      <c r="F16" s="34"/>
      <c r="G16" s="35"/>
      <c r="H16" s="105"/>
      <c r="I16" s="106"/>
      <c r="J16" s="107"/>
      <c r="K16" s="107"/>
      <c r="L16" s="108"/>
      <c r="M16" s="108"/>
      <c r="N16" s="109"/>
      <c r="O16" s="109"/>
    </row>
    <row r="17" spans="3:31" ht="15.75" hidden="1" customHeight="1" x14ac:dyDescent="0.3">
      <c r="C17" s="37" t="s">
        <v>69</v>
      </c>
      <c r="D17" s="2"/>
      <c r="E17" s="110"/>
      <c r="F17" s="110"/>
      <c r="G17" s="13"/>
      <c r="H17" s="13"/>
      <c r="I17" s="111"/>
      <c r="J17" s="38"/>
      <c r="K17" s="112"/>
      <c r="L17" s="112"/>
      <c r="M17" s="4"/>
      <c r="N17" s="99"/>
      <c r="O17" s="93"/>
      <c r="P17" s="38"/>
      <c r="Q17" s="2"/>
      <c r="R17" s="2"/>
      <c r="S17" s="39"/>
      <c r="T17" s="38"/>
      <c r="U17" s="40"/>
      <c r="V17" s="40"/>
      <c r="W17" s="40"/>
      <c r="X17" s="12"/>
      <c r="Y17" s="12"/>
      <c r="Z17" s="12"/>
      <c r="AA17" s="12"/>
      <c r="AB17" s="12"/>
      <c r="AC17" s="12"/>
      <c r="AD17" s="12"/>
    </row>
    <row r="18" spans="3:31" ht="12.75" hidden="1" customHeight="1" x14ac:dyDescent="0.3">
      <c r="C18" s="41" t="s">
        <v>70</v>
      </c>
      <c r="D18" s="2"/>
      <c r="E18" s="38"/>
      <c r="F18" s="38"/>
      <c r="G18" s="2"/>
      <c r="H18" s="2"/>
      <c r="I18" s="39"/>
      <c r="J18" s="38"/>
      <c r="K18" s="40"/>
      <c r="L18" s="40"/>
      <c r="M18" s="40"/>
      <c r="N18" s="99"/>
      <c r="O18" s="93"/>
      <c r="P18" s="2"/>
      <c r="Q18" s="2"/>
      <c r="R18" s="39"/>
      <c r="S18" s="38"/>
      <c r="T18" s="40"/>
      <c r="U18" s="40"/>
      <c r="V18" s="40"/>
      <c r="X18" s="12" t="s">
        <v>27</v>
      </c>
      <c r="Y18" s="12"/>
      <c r="Z18" s="12"/>
      <c r="AA18" s="12"/>
      <c r="AB18" s="12"/>
      <c r="AC18" s="12"/>
    </row>
    <row r="19" spans="3:31" ht="25.5" hidden="1" customHeight="1" x14ac:dyDescent="0.3">
      <c r="C19" s="113" t="s">
        <v>71</v>
      </c>
      <c r="D19" s="5" t="s">
        <v>9</v>
      </c>
      <c r="E19" s="4"/>
      <c r="F19" s="5" t="s">
        <v>72</v>
      </c>
      <c r="H19" s="5" t="s">
        <v>7</v>
      </c>
      <c r="J19" s="5" t="s">
        <v>8</v>
      </c>
      <c r="K19" s="40"/>
      <c r="L19" s="40"/>
      <c r="M19" s="40"/>
      <c r="N19" s="99"/>
      <c r="O19" s="108"/>
      <c r="Q19" s="5"/>
      <c r="U19" s="12"/>
      <c r="W19" s="5"/>
      <c r="X19" s="5" t="s">
        <v>28</v>
      </c>
      <c r="Z19" s="12"/>
      <c r="AA19" s="12"/>
      <c r="AB19" s="12"/>
      <c r="AC19" s="12"/>
      <c r="AD19" s="12"/>
      <c r="AE19" s="12"/>
    </row>
    <row r="20" spans="3:31" ht="38.25" hidden="1" customHeight="1" x14ac:dyDescent="0.4">
      <c r="C20" s="162" t="s">
        <v>73</v>
      </c>
      <c r="D20" s="162" t="s">
        <v>26</v>
      </c>
      <c r="E20" s="162" t="s">
        <v>10</v>
      </c>
      <c r="F20" s="162" t="s">
        <v>9</v>
      </c>
      <c r="G20" s="162" t="s">
        <v>72</v>
      </c>
      <c r="H20" s="162" t="s">
        <v>7</v>
      </c>
      <c r="I20" s="162" t="s">
        <v>8</v>
      </c>
      <c r="J20" s="239" t="s">
        <v>5</v>
      </c>
      <c r="K20" s="162" t="s">
        <v>74</v>
      </c>
      <c r="L20" s="162" t="s">
        <v>0</v>
      </c>
      <c r="M20" s="162" t="s">
        <v>1</v>
      </c>
      <c r="N20" s="114"/>
      <c r="O20" s="115"/>
      <c r="P20" s="116" t="s">
        <v>13</v>
      </c>
      <c r="Q20" s="117" t="s">
        <v>56</v>
      </c>
      <c r="R20" s="118"/>
      <c r="S20" s="119"/>
      <c r="T20" s="120"/>
      <c r="U20" s="120"/>
      <c r="V20" s="121"/>
      <c r="X20" s="122"/>
      <c r="Y20" s="116" t="s">
        <v>57</v>
      </c>
      <c r="Z20" s="117" t="s">
        <v>75</v>
      </c>
      <c r="AA20" s="77"/>
      <c r="AB20" s="77"/>
      <c r="AC20" s="77" t="s">
        <v>76</v>
      </c>
      <c r="AD20" s="77"/>
      <c r="AE20" s="69"/>
    </row>
    <row r="21" spans="3:31" ht="12.75" hidden="1" customHeight="1" x14ac:dyDescent="0.3">
      <c r="C21" s="240">
        <f>E7</f>
        <v>708</v>
      </c>
      <c r="D21" s="238">
        <f>G7</f>
        <v>2365</v>
      </c>
      <c r="E21" s="237">
        <f>C21/D21</f>
        <v>0.29936575052854125</v>
      </c>
      <c r="F21" s="241">
        <f>2*C21+J21^2</f>
        <v>1419.841458820694</v>
      </c>
      <c r="G21" s="241">
        <f>J21*SQRT((J21^2)+(4*C21*(1-E21)))</f>
        <v>87.389729254832957</v>
      </c>
      <c r="H21" s="242">
        <f>2*(D21+J21^2)</f>
        <v>4737.6829176413885</v>
      </c>
      <c r="I21" s="201" t="s">
        <v>11</v>
      </c>
      <c r="J21" s="101">
        <f>-NORMSINV((1-J2)/2)</f>
        <v>1.9599639845400536</v>
      </c>
      <c r="K21" s="243">
        <f>E21</f>
        <v>0.29936575052854125</v>
      </c>
      <c r="L21" s="243">
        <f>(F21-G21)/H21</f>
        <v>0.2812454427045552</v>
      </c>
      <c r="M21" s="243">
        <f>(F21+G21)/H21</f>
        <v>0.31813677999917478</v>
      </c>
      <c r="N21" s="114"/>
      <c r="O21" s="123">
        <f>G9/2</f>
        <v>2365.5</v>
      </c>
      <c r="P21" s="20" t="s">
        <v>14</v>
      </c>
      <c r="Q21" s="2"/>
      <c r="R21" s="39"/>
      <c r="S21" s="38"/>
      <c r="T21" s="40"/>
      <c r="U21" s="40"/>
      <c r="V21" s="124"/>
      <c r="X21" s="125">
        <f>ABS(E21-E22)</f>
        <v>1.8470259615161189E-2</v>
      </c>
      <c r="Y21" s="20" t="s">
        <v>77</v>
      </c>
      <c r="Z21" s="2"/>
      <c r="AA21" s="20"/>
      <c r="AB21" s="20"/>
      <c r="AC21" s="20" t="s">
        <v>78</v>
      </c>
      <c r="AD21" s="20"/>
      <c r="AE21" s="126"/>
    </row>
    <row r="22" spans="3:31" ht="14.25" hidden="1" customHeight="1" x14ac:dyDescent="0.4">
      <c r="C22" s="240">
        <f>E8</f>
        <v>752</v>
      </c>
      <c r="D22" s="238">
        <f>G8</f>
        <v>2366</v>
      </c>
      <c r="E22" s="237">
        <f>C22/D22</f>
        <v>0.31783601014370244</v>
      </c>
      <c r="F22" s="241">
        <f>2*C22+J22^2</f>
        <v>1507.841458820694</v>
      </c>
      <c r="G22" s="241">
        <f>J22*SQRT((J22^2)+(4*C22*(1-E22)))</f>
        <v>88.86639113218871</v>
      </c>
      <c r="H22" s="242">
        <f>2*(D22+J22^2)</f>
        <v>4739.6829176413885</v>
      </c>
      <c r="I22" s="201" t="s">
        <v>11</v>
      </c>
      <c r="J22" s="101">
        <f>-NORMSINV((1-J2)/2)</f>
        <v>1.9599639845400536</v>
      </c>
      <c r="K22" s="243">
        <f>E22</f>
        <v>0.31783601014370244</v>
      </c>
      <c r="L22" s="243">
        <f>(F22-G22)/H22</f>
        <v>0.29938185577921123</v>
      </c>
      <c r="M22" s="243">
        <f>(F22+G22)/H22</f>
        <v>0.33688073183331291</v>
      </c>
      <c r="N22" s="114"/>
      <c r="O22" s="127">
        <f>K26</f>
        <v>1.8470259615161189E-2</v>
      </c>
      <c r="P22" s="20" t="s">
        <v>15</v>
      </c>
      <c r="Q22" s="20"/>
      <c r="R22" s="20"/>
      <c r="S22" s="20"/>
      <c r="T22" s="20"/>
      <c r="U22" s="20"/>
      <c r="V22" s="79"/>
      <c r="X22" s="128">
        <f>SQRT((E23*(1-E23)/D21)+(E23*(1-E23)/D22))</f>
        <v>1.3431276300375284E-2</v>
      </c>
      <c r="Y22" s="41" t="s">
        <v>79</v>
      </c>
      <c r="Z22" s="20"/>
      <c r="AA22" s="20"/>
      <c r="AB22" s="20"/>
      <c r="AC22" s="20"/>
      <c r="AD22" s="20"/>
      <c r="AE22" s="126"/>
    </row>
    <row r="23" spans="3:31" ht="12.75" hidden="1" customHeight="1" x14ac:dyDescent="0.3">
      <c r="C23" s="240">
        <f>E9</f>
        <v>1460</v>
      </c>
      <c r="D23" s="238">
        <f>G9</f>
        <v>4731</v>
      </c>
      <c r="E23" s="237">
        <f>C23/D23</f>
        <v>0.30860283238216024</v>
      </c>
      <c r="F23" s="241">
        <f>2*C23+J23^2</f>
        <v>2923.8414588206942</v>
      </c>
      <c r="G23" s="241">
        <f>J23*SQRT((J23^2)+(4*C23*(1-E23)))</f>
        <v>124.60194017373179</v>
      </c>
      <c r="H23" s="242">
        <f>2*(D23+J23^2)</f>
        <v>9469.6829176413885</v>
      </c>
      <c r="I23" s="201" t="s">
        <v>11</v>
      </c>
      <c r="J23" s="101">
        <f>-NORMSINV((1-J2)/2)</f>
        <v>1.9599639845400536</v>
      </c>
      <c r="K23" s="243">
        <f>E23</f>
        <v>0.30860283238216024</v>
      </c>
      <c r="L23" s="243">
        <f>(F23-G23)/H23</f>
        <v>0.29560013180928857</v>
      </c>
      <c r="M23" s="243">
        <f>(F23+G23)/H23</f>
        <v>0.3219161006241697</v>
      </c>
      <c r="N23" s="114"/>
      <c r="O23" s="129">
        <f>(C21+C22)/(D21+D22)</f>
        <v>0.30860283238216024</v>
      </c>
      <c r="P23" s="20" t="s">
        <v>6</v>
      </c>
      <c r="Q23" s="2"/>
      <c r="R23" s="39"/>
      <c r="S23" s="38"/>
      <c r="T23" s="40"/>
      <c r="U23" s="40"/>
      <c r="V23" s="126"/>
      <c r="X23" s="130">
        <f>X21/X22</f>
        <v>1.375167869537842</v>
      </c>
      <c r="Y23" s="20" t="s">
        <v>42</v>
      </c>
      <c r="Z23" s="2"/>
      <c r="AA23" s="20"/>
      <c r="AB23" s="20"/>
      <c r="AC23" s="20"/>
      <c r="AD23" s="20"/>
      <c r="AE23" s="126"/>
    </row>
    <row r="24" spans="3:31" ht="15" hidden="1" customHeight="1" x14ac:dyDescent="0.3">
      <c r="C24" s="70"/>
      <c r="D24" s="244" t="s">
        <v>12</v>
      </c>
      <c r="E24" s="12"/>
      <c r="F24" s="12"/>
      <c r="G24" s="36"/>
      <c r="H24" s="107"/>
      <c r="I24" s="107"/>
      <c r="J24" s="107"/>
      <c r="K24" s="107"/>
      <c r="L24" s="108"/>
      <c r="M24" s="108"/>
      <c r="N24" s="114"/>
      <c r="O24" s="131">
        <f>SQRT(O21*O22^2/(2*O23*(1-O23)))-J21</f>
        <v>-0.58479608428230856</v>
      </c>
      <c r="P24" s="20" t="s">
        <v>80</v>
      </c>
      <c r="Q24" s="20"/>
      <c r="R24" s="20"/>
      <c r="S24" s="20"/>
      <c r="T24" s="20"/>
      <c r="U24" s="4"/>
      <c r="V24" s="124"/>
      <c r="X24" s="132">
        <f>NORMSDIST(-X23)</f>
        <v>8.4539703517052783E-2</v>
      </c>
      <c r="Y24" s="37" t="s">
        <v>81</v>
      </c>
      <c r="Z24" s="20"/>
      <c r="AA24" s="4"/>
      <c r="AB24" s="4"/>
      <c r="AC24" s="4"/>
      <c r="AD24" s="4"/>
      <c r="AE24" s="79"/>
    </row>
    <row r="25" spans="3:31" ht="13.5" hidden="1" customHeight="1" x14ac:dyDescent="0.3">
      <c r="C25" s="70"/>
      <c r="D25" s="244" t="s">
        <v>104</v>
      </c>
      <c r="E25" s="234"/>
      <c r="F25" s="4"/>
      <c r="G25" s="36"/>
      <c r="H25" s="107"/>
      <c r="I25" s="108"/>
      <c r="J25" s="108"/>
      <c r="K25" s="235"/>
      <c r="L25" s="235"/>
      <c r="M25" s="235"/>
      <c r="N25" s="114"/>
      <c r="O25" s="133">
        <f>NORMSDIST(O24)</f>
        <v>0.27934241879961202</v>
      </c>
      <c r="P25" s="37" t="s">
        <v>16</v>
      </c>
      <c r="Q25" s="42"/>
      <c r="R25" s="20"/>
      <c r="S25" s="20"/>
      <c r="T25" s="20"/>
      <c r="U25" s="20"/>
      <c r="V25" s="126"/>
      <c r="X25" s="134">
        <f>1-X24</f>
        <v>0.91546029648294724</v>
      </c>
      <c r="Y25" s="43" t="s">
        <v>82</v>
      </c>
      <c r="Z25" s="42"/>
      <c r="AA25" s="4"/>
      <c r="AB25" s="4"/>
      <c r="AC25" s="4"/>
      <c r="AD25" s="4"/>
      <c r="AE25" s="79"/>
    </row>
    <row r="26" spans="3:31" ht="15" hidden="1" customHeight="1" x14ac:dyDescent="0.35">
      <c r="C26" s="12"/>
      <c r="D26" s="12"/>
      <c r="E26" s="12"/>
      <c r="F26" s="12"/>
      <c r="G26" s="245"/>
      <c r="H26" s="108"/>
      <c r="I26" s="108"/>
      <c r="J26" s="236" t="s">
        <v>23</v>
      </c>
      <c r="K26" s="237">
        <f>E22-E21</f>
        <v>1.8470259615161189E-2</v>
      </c>
      <c r="L26" s="237">
        <f>K26+SQRT((E22-L22)^2+(M21-E21)^2)</f>
        <v>4.4793393180446735E-2</v>
      </c>
      <c r="M26" s="237">
        <f>K26-SQRT((E21-L21)^2+(M22-E22)^2)</f>
        <v>-7.8175128250956953E-3</v>
      </c>
      <c r="N26" s="91"/>
      <c r="O26" s="135">
        <f>1-O25</f>
        <v>0.72065758120038792</v>
      </c>
      <c r="P26" s="136" t="s">
        <v>83</v>
      </c>
      <c r="Q26" s="137"/>
      <c r="R26" s="138"/>
      <c r="S26" s="137"/>
      <c r="T26" s="137"/>
      <c r="U26" s="137"/>
      <c r="V26" s="139"/>
      <c r="X26" s="140"/>
      <c r="Y26" s="141"/>
      <c r="Z26" s="137"/>
      <c r="AA26" s="141"/>
      <c r="AB26" s="141"/>
      <c r="AC26" s="141"/>
      <c r="AD26" s="141"/>
      <c r="AE26" s="142"/>
    </row>
    <row r="27" spans="3:31" ht="13.5" hidden="1" customHeight="1" x14ac:dyDescent="0.3">
      <c r="C27" s="12"/>
      <c r="D27" s="12"/>
      <c r="E27" s="12"/>
      <c r="F27" s="12"/>
      <c r="G27" s="24"/>
      <c r="H27" s="108"/>
      <c r="I27" s="108"/>
      <c r="J27" s="236" t="s">
        <v>24</v>
      </c>
      <c r="K27" s="238">
        <f>1/K26</f>
        <v>54.141090641690639</v>
      </c>
      <c r="L27" s="238">
        <f>1/L26</f>
        <v>22.32472087951848</v>
      </c>
      <c r="M27" s="238">
        <f>1/M26</f>
        <v>-127.91792253794721</v>
      </c>
      <c r="N27" s="91"/>
      <c r="O27" s="92"/>
      <c r="P27" s="5"/>
      <c r="Q27" s="5"/>
      <c r="V27" s="5"/>
      <c r="W27" s="5"/>
      <c r="X27" s="12"/>
      <c r="Y27" s="12"/>
      <c r="Z27" s="12"/>
      <c r="AA27" s="12"/>
      <c r="AB27" s="12"/>
      <c r="AC27" s="12"/>
      <c r="AD27" s="12"/>
    </row>
    <row r="28" spans="3:31" ht="14.25" hidden="1" customHeight="1" x14ac:dyDescent="0.4">
      <c r="N28" s="143"/>
      <c r="O28" s="115"/>
      <c r="P28" s="144"/>
      <c r="Q28" s="144" t="s">
        <v>79</v>
      </c>
      <c r="R28" s="145">
        <f>SQRT((E23*(1-E23)/D21)+(E23*(1-E23)/D22))</f>
        <v>1.3431276300375284E-2</v>
      </c>
      <c r="S28" s="146"/>
      <c r="T28" s="146"/>
      <c r="U28" s="146"/>
      <c r="V28" s="69"/>
      <c r="W28" s="5"/>
    </row>
    <row r="29" spans="3:31" ht="31.5" hidden="1" customHeight="1" x14ac:dyDescent="0.3">
      <c r="N29" s="92"/>
      <c r="O29" s="147" t="s">
        <v>84</v>
      </c>
      <c r="P29" s="148"/>
      <c r="Q29" s="20" t="s">
        <v>85</v>
      </c>
      <c r="R29" s="20"/>
      <c r="S29" s="39"/>
      <c r="T29" s="149" t="s">
        <v>86</v>
      </c>
      <c r="U29" s="20"/>
      <c r="V29" s="126"/>
      <c r="W29" s="5"/>
    </row>
    <row r="30" spans="3:31" s="4" customFormat="1" ht="14.25" hidden="1" customHeight="1" x14ac:dyDescent="0.4">
      <c r="G30" s="5"/>
      <c r="H30" s="5"/>
      <c r="I30" s="5"/>
      <c r="J30" s="5"/>
      <c r="K30" s="5"/>
      <c r="L30" s="5"/>
      <c r="M30" s="5"/>
      <c r="N30" s="92"/>
      <c r="O30" s="150"/>
      <c r="P30" s="65" t="s">
        <v>87</v>
      </c>
      <c r="R30" s="151" t="s">
        <v>88</v>
      </c>
      <c r="S30" s="65" t="s">
        <v>89</v>
      </c>
      <c r="T30" s="20"/>
      <c r="U30" s="20"/>
      <c r="V30" s="79"/>
    </row>
    <row r="31" spans="3:31" s="4" customFormat="1" ht="14.25" hidden="1" customHeight="1" x14ac:dyDescent="0.4">
      <c r="G31" s="5"/>
      <c r="H31" s="5"/>
      <c r="I31" s="5"/>
      <c r="J31" s="5"/>
      <c r="K31" s="5"/>
      <c r="L31" s="5"/>
      <c r="M31" s="5"/>
      <c r="N31" s="99"/>
      <c r="O31" s="131">
        <f>ABS((K26/R28))-J21</f>
        <v>-0.58479611500221163</v>
      </c>
      <c r="P31" s="65" t="s">
        <v>90</v>
      </c>
      <c r="Q31" s="20"/>
      <c r="R31" s="20"/>
      <c r="S31" s="38"/>
      <c r="T31" s="40"/>
      <c r="U31" s="40"/>
      <c r="V31" s="124"/>
    </row>
    <row r="32" spans="3:31" s="4" customFormat="1" ht="12.75" hidden="1" customHeight="1" x14ac:dyDescent="0.3">
      <c r="C32" s="152"/>
      <c r="D32" s="45"/>
      <c r="F32" s="29"/>
      <c r="G32" s="5"/>
      <c r="H32" s="5"/>
      <c r="I32" s="5"/>
      <c r="J32" s="5"/>
      <c r="K32" s="5"/>
      <c r="L32" s="5"/>
      <c r="M32" s="5"/>
      <c r="N32" s="99"/>
      <c r="O32" s="133">
        <f>NORMSDIST(O31)</f>
        <v>0.27934240847036917</v>
      </c>
      <c r="P32" s="41" t="s">
        <v>91</v>
      </c>
      <c r="Q32" s="42"/>
      <c r="R32" s="20"/>
      <c r="S32" s="20"/>
      <c r="T32" s="20"/>
      <c r="U32" s="20"/>
      <c r="V32" s="79"/>
    </row>
    <row r="33" spans="3:23" s="4" customFormat="1" ht="12.75" hidden="1" customHeight="1" x14ac:dyDescent="0.3">
      <c r="C33" s="152"/>
      <c r="G33" s="5"/>
      <c r="H33" s="5"/>
      <c r="I33" s="5"/>
      <c r="J33" s="5"/>
      <c r="K33" s="5"/>
      <c r="L33" s="5"/>
      <c r="M33" s="5"/>
      <c r="N33" s="99"/>
      <c r="O33" s="135">
        <f>1-O32</f>
        <v>0.72065759152963083</v>
      </c>
      <c r="P33" s="137" t="s">
        <v>92</v>
      </c>
      <c r="Q33" s="137"/>
      <c r="R33" s="138"/>
      <c r="S33" s="153"/>
      <c r="T33" s="154"/>
      <c r="U33" s="154"/>
      <c r="V33" s="139"/>
    </row>
    <row r="34" spans="3:23" s="12" customFormat="1" ht="12.75" hidden="1" customHeight="1" x14ac:dyDescent="0.3">
      <c r="C34" s="155" t="s">
        <v>93</v>
      </c>
      <c r="D34" s="50" t="s">
        <v>20</v>
      </c>
      <c r="E34" s="51" t="s">
        <v>21</v>
      </c>
      <c r="F34" s="20"/>
      <c r="G34" s="46"/>
      <c r="H34" s="156"/>
      <c r="I34" s="157"/>
      <c r="J34" s="158"/>
      <c r="K34" s="159"/>
      <c r="L34" s="159"/>
      <c r="M34" s="159"/>
      <c r="N34" s="108"/>
      <c r="O34" s="99"/>
      <c r="P34" s="4"/>
      <c r="Q34" s="4"/>
      <c r="R34" s="4"/>
      <c r="S34" s="4"/>
    </row>
    <row r="35" spans="3:23" ht="12.75" hidden="1" customHeight="1" x14ac:dyDescent="0.3">
      <c r="C35" s="160" t="s">
        <v>32</v>
      </c>
      <c r="D35" s="53" t="s">
        <v>3</v>
      </c>
      <c r="E35" s="54" t="s">
        <v>2</v>
      </c>
      <c r="F35" s="55" t="s">
        <v>22</v>
      </c>
      <c r="H35" s="92"/>
      <c r="I35" s="92"/>
      <c r="J35" s="92"/>
      <c r="K35" s="92"/>
      <c r="L35" s="92"/>
      <c r="M35" s="92"/>
      <c r="N35" s="92"/>
      <c r="O35" s="99"/>
      <c r="P35" s="4"/>
      <c r="Q35" s="4"/>
      <c r="R35" s="4"/>
      <c r="S35" s="4"/>
      <c r="V35" s="5"/>
      <c r="W35" s="5"/>
    </row>
    <row r="36" spans="3:23" ht="12.75" hidden="1" customHeight="1" x14ac:dyDescent="0.3">
      <c r="C36" s="161" t="s">
        <v>17</v>
      </c>
      <c r="D36" s="56">
        <f>G7*E9/G9</f>
        <v>729.84569858380894</v>
      </c>
      <c r="E36" s="56">
        <f>G7*F9/G9</f>
        <v>1635.1543014161912</v>
      </c>
      <c r="F36" s="56">
        <f>G7</f>
        <v>2365</v>
      </c>
      <c r="H36" s="162"/>
      <c r="I36" s="163" t="s">
        <v>30</v>
      </c>
      <c r="J36" s="164">
        <f>CHIINV(0.05,L37)</f>
        <v>3.8414588206941236</v>
      </c>
      <c r="K36" s="92"/>
      <c r="L36" s="92"/>
      <c r="M36" s="92"/>
      <c r="N36" s="92"/>
      <c r="O36" s="99"/>
      <c r="P36" s="47"/>
      <c r="Q36" s="47"/>
      <c r="R36" s="47"/>
      <c r="S36" s="4"/>
      <c r="V36" s="5"/>
      <c r="W36" s="5"/>
    </row>
    <row r="37" spans="3:23" ht="12.75" hidden="1" customHeight="1" x14ac:dyDescent="0.3">
      <c r="C37" s="165" t="s">
        <v>18</v>
      </c>
      <c r="D37" s="56">
        <f>G8*E9/G9</f>
        <v>730.15430141619106</v>
      </c>
      <c r="E37" s="56">
        <f>G8*F9/G9</f>
        <v>1635.8456985838088</v>
      </c>
      <c r="F37" s="56">
        <f>G8</f>
        <v>2366</v>
      </c>
      <c r="G37" s="12"/>
      <c r="H37" s="166"/>
      <c r="I37" s="166"/>
      <c r="J37" s="167"/>
      <c r="K37" s="168" t="s">
        <v>31</v>
      </c>
      <c r="L37" s="169">
        <f>(COUNT(D36:E36)-1)*(COUNT(D36:D37)-1)</f>
        <v>1</v>
      </c>
      <c r="M37" s="92"/>
      <c r="N37" s="92"/>
      <c r="O37" s="92"/>
      <c r="P37" s="47"/>
      <c r="Q37" s="47"/>
      <c r="R37" s="47"/>
      <c r="S37" s="4"/>
      <c r="V37" s="5"/>
      <c r="W37" s="5"/>
    </row>
    <row r="38" spans="3:23" ht="12.75" hidden="1" customHeight="1" x14ac:dyDescent="0.3">
      <c r="C38" s="170" t="s">
        <v>29</v>
      </c>
      <c r="D38" s="56">
        <f>SUM(D36:D37)</f>
        <v>1460</v>
      </c>
      <c r="E38" s="56">
        <f>SUM(E36:E37)</f>
        <v>3271</v>
      </c>
      <c r="F38" s="57">
        <f>SUM(F36:F37)</f>
        <v>4731</v>
      </c>
      <c r="G38" s="12"/>
      <c r="H38" s="108"/>
      <c r="I38" s="171" t="s">
        <v>33</v>
      </c>
      <c r="J38" s="66" t="s">
        <v>34</v>
      </c>
      <c r="K38" s="92"/>
      <c r="L38" s="92"/>
      <c r="M38" s="92"/>
      <c r="N38" s="92"/>
      <c r="O38" s="92"/>
      <c r="P38" s="47"/>
      <c r="Q38" s="48"/>
      <c r="R38" s="47"/>
      <c r="S38" s="4"/>
      <c r="V38" s="5"/>
      <c r="W38" s="5"/>
    </row>
    <row r="39" spans="3:23" ht="12.75" hidden="1" customHeight="1" x14ac:dyDescent="0.3">
      <c r="C39" s="170"/>
      <c r="D39" s="58"/>
      <c r="E39" s="58"/>
      <c r="F39" s="59"/>
      <c r="G39" s="12"/>
      <c r="H39" s="108"/>
      <c r="I39" s="171" t="s">
        <v>35</v>
      </c>
      <c r="J39" s="66" t="s">
        <v>36</v>
      </c>
      <c r="K39" s="92"/>
      <c r="L39" s="92"/>
      <c r="M39" s="92"/>
      <c r="N39" s="92"/>
      <c r="O39" s="92"/>
      <c r="P39" s="49"/>
      <c r="Q39" s="49"/>
      <c r="R39" s="49"/>
      <c r="S39" s="4"/>
      <c r="V39" s="5"/>
      <c r="W39" s="5"/>
    </row>
    <row r="40" spans="3:23" ht="26.25" hidden="1" customHeight="1" x14ac:dyDescent="0.3">
      <c r="C40" s="172"/>
      <c r="D40" s="277" t="s">
        <v>94</v>
      </c>
      <c r="E40" s="278"/>
      <c r="H40" s="92"/>
      <c r="I40" s="173"/>
      <c r="J40" s="92"/>
      <c r="K40" s="92"/>
      <c r="L40" s="92"/>
      <c r="M40" s="92"/>
      <c r="N40" s="92"/>
      <c r="O40" s="92"/>
      <c r="P40" s="5"/>
      <c r="Q40" s="5"/>
      <c r="V40" s="5"/>
      <c r="W40" s="5"/>
    </row>
    <row r="41" spans="3:23" ht="12.75" hidden="1" customHeight="1" x14ac:dyDescent="0.3">
      <c r="C41" s="172"/>
      <c r="D41" s="60">
        <f>(E7-D36)^2/D36</f>
        <v>0.65388416694193963</v>
      </c>
      <c r="E41" s="60">
        <f>(F7-E36)^2/E36</f>
        <v>0.29185902896215898</v>
      </c>
      <c r="G41" s="52"/>
      <c r="H41" s="174"/>
      <c r="I41" s="92"/>
      <c r="J41" s="92"/>
      <c r="K41" s="99"/>
      <c r="L41" s="99"/>
      <c r="M41" s="175"/>
      <c r="N41" s="92"/>
      <c r="O41" s="92"/>
      <c r="P41" s="5"/>
      <c r="Q41" s="5"/>
      <c r="V41" s="5"/>
      <c r="W41" s="5"/>
    </row>
    <row r="42" spans="3:23" ht="12.75" hidden="1" customHeight="1" x14ac:dyDescent="0.3">
      <c r="C42" s="172"/>
      <c r="D42" s="60">
        <f>(E8-D37)^2/D37</f>
        <v>0.65360780000747565</v>
      </c>
      <c r="E42" s="60">
        <f>(F8-E37)^2/E37</f>
        <v>0.29173567349767793</v>
      </c>
      <c r="F42" s="16"/>
      <c r="G42" s="61" t="s">
        <v>37</v>
      </c>
      <c r="H42" s="176">
        <f>D44-J36</f>
        <v>-1.9503721512848713</v>
      </c>
      <c r="I42" s="92"/>
      <c r="J42" s="92"/>
      <c r="K42" s="99"/>
      <c r="L42" s="99"/>
      <c r="M42" s="92"/>
      <c r="N42" s="92"/>
      <c r="O42" s="92"/>
      <c r="P42" s="5"/>
      <c r="Q42" s="5"/>
      <c r="V42" s="5"/>
      <c r="W42" s="5"/>
    </row>
    <row r="43" spans="3:23" ht="12.75" hidden="1" customHeight="1" x14ac:dyDescent="0.3">
      <c r="C43" s="66" t="s">
        <v>39</v>
      </c>
      <c r="E43" s="62"/>
      <c r="H43" s="73" t="s">
        <v>40</v>
      </c>
      <c r="I43" s="92"/>
      <c r="J43" s="92"/>
      <c r="K43" s="99"/>
      <c r="L43" s="99"/>
      <c r="M43" s="92"/>
      <c r="N43" s="92"/>
      <c r="O43" s="92"/>
      <c r="P43" s="5"/>
      <c r="Q43" s="5"/>
      <c r="V43" s="5"/>
      <c r="W43" s="5"/>
    </row>
    <row r="44" spans="3:23" ht="13.5" hidden="1" customHeight="1" x14ac:dyDescent="0.3">
      <c r="C44" s="80" t="s">
        <v>38</v>
      </c>
      <c r="D44" s="177">
        <f>SUM(D41:E42)</f>
        <v>1.8910866694092523</v>
      </c>
      <c r="E44" s="20"/>
      <c r="H44" s="73" t="s">
        <v>41</v>
      </c>
      <c r="I44" s="92"/>
      <c r="J44" s="178"/>
      <c r="K44" s="99"/>
      <c r="L44" s="99"/>
      <c r="M44" s="179"/>
      <c r="N44" s="92"/>
      <c r="O44" s="92"/>
      <c r="P44" s="5"/>
      <c r="Q44" s="5"/>
      <c r="V44" s="5"/>
      <c r="W44" s="5"/>
    </row>
    <row r="45" spans="3:23" ht="12.75" hidden="1" customHeight="1" x14ac:dyDescent="0.3">
      <c r="C45" s="180" t="s">
        <v>58</v>
      </c>
      <c r="D45" s="181">
        <f>CHIDIST(D44,1)</f>
        <v>0.16907940703410496</v>
      </c>
      <c r="F45" s="20"/>
      <c r="G45" s="20"/>
      <c r="H45" s="91"/>
      <c r="I45" s="182"/>
      <c r="J45" s="91"/>
      <c r="K45" s="99"/>
      <c r="L45" s="99"/>
      <c r="M45" s="91"/>
      <c r="N45" s="92"/>
      <c r="O45" s="92"/>
      <c r="P45" s="5"/>
      <c r="Q45" s="5"/>
      <c r="V45" s="5"/>
      <c r="W45" s="5"/>
    </row>
    <row r="46" spans="3:23" s="4" customFormat="1" ht="12.75" hidden="1" customHeight="1" x14ac:dyDescent="0.3">
      <c r="C46" s="103"/>
      <c r="F46" s="63"/>
      <c r="G46" s="63"/>
      <c r="H46" s="99"/>
      <c r="I46" s="99"/>
      <c r="J46" s="183"/>
      <c r="K46" s="99"/>
      <c r="L46" s="99"/>
      <c r="M46" s="99"/>
      <c r="N46" s="99"/>
      <c r="O46" s="99"/>
    </row>
    <row r="47" spans="3:23" ht="13.5" hidden="1" customHeight="1" x14ac:dyDescent="0.3">
      <c r="C47" s="71"/>
      <c r="H47" s="92"/>
      <c r="I47" s="92"/>
      <c r="J47" s="92"/>
      <c r="K47" s="99"/>
      <c r="L47" s="99"/>
      <c r="M47" s="92"/>
      <c r="N47" s="92"/>
      <c r="O47" s="92"/>
      <c r="P47" s="5"/>
      <c r="Q47" s="5"/>
      <c r="V47" s="5"/>
      <c r="W47" s="5"/>
    </row>
    <row r="48" spans="3:23" ht="12.75" hidden="1" customHeight="1" x14ac:dyDescent="0.3">
      <c r="C48" s="184" t="s">
        <v>95</v>
      </c>
      <c r="D48" s="78"/>
      <c r="E48" s="78"/>
      <c r="F48" s="78"/>
      <c r="G48" s="78"/>
      <c r="H48" s="78"/>
      <c r="I48" s="185"/>
      <c r="J48" s="92"/>
      <c r="K48" s="186" t="s">
        <v>96</v>
      </c>
      <c r="L48" s="187"/>
      <c r="M48" s="188"/>
      <c r="N48" s="188"/>
      <c r="O48" s="188"/>
      <c r="P48" s="69"/>
      <c r="Q48" s="5"/>
      <c r="V48" s="5"/>
      <c r="W48" s="5"/>
    </row>
    <row r="49" spans="3:23" ht="12.75" hidden="1" customHeight="1" x14ac:dyDescent="0.3">
      <c r="C49" s="189">
        <f>J2*100</f>
        <v>95</v>
      </c>
      <c r="D49" s="46"/>
      <c r="E49" s="46"/>
      <c r="F49" s="4"/>
      <c r="G49" s="4"/>
      <c r="H49" s="4"/>
      <c r="I49" s="79"/>
      <c r="J49" s="92"/>
      <c r="K49" s="190"/>
      <c r="L49" s="99"/>
      <c r="M49" s="91"/>
      <c r="N49" s="91"/>
      <c r="O49" s="91"/>
      <c r="P49" s="126"/>
      <c r="Q49" s="5"/>
      <c r="V49" s="5"/>
      <c r="W49" s="5"/>
    </row>
    <row r="50" spans="3:23" ht="12.75" hidden="1" customHeight="1" x14ac:dyDescent="0.3">
      <c r="C50" s="191" t="s">
        <v>44</v>
      </c>
      <c r="D50" s="192"/>
      <c r="E50" s="192"/>
      <c r="F50" s="1">
        <f>ROUND(H14,2)</f>
        <v>0.94</v>
      </c>
      <c r="G50" s="44">
        <f>ROUND(K26,4)</f>
        <v>1.8499999999999999E-2</v>
      </c>
      <c r="H50" s="193">
        <f>ROUND(K27,0)</f>
        <v>54</v>
      </c>
      <c r="I50" s="194"/>
      <c r="J50" s="92"/>
      <c r="K50" s="195" t="s">
        <v>44</v>
      </c>
      <c r="L50" s="4"/>
      <c r="M50" s="4"/>
      <c r="N50" s="4"/>
      <c r="O50" s="91"/>
      <c r="P50" s="126"/>
      <c r="Q50" s="5"/>
      <c r="V50" s="5"/>
      <c r="W50" s="5"/>
    </row>
    <row r="51" spans="3:23" ht="12.75" hidden="1" customHeight="1" x14ac:dyDescent="0.3">
      <c r="C51" s="191" t="s">
        <v>46</v>
      </c>
      <c r="D51" s="20"/>
      <c r="E51" s="20"/>
      <c r="F51" s="1">
        <f>ROUND(I14,2)</f>
        <v>0.86</v>
      </c>
      <c r="G51" s="44">
        <f>ROUND(M26,4)</f>
        <v>-7.7999999999999996E-3</v>
      </c>
      <c r="H51" s="193">
        <f>ROUND(M27,0)</f>
        <v>-128</v>
      </c>
      <c r="I51" s="194"/>
      <c r="J51" s="92"/>
      <c r="K51" s="195" t="s">
        <v>46</v>
      </c>
      <c r="L51" s="196" t="str">
        <f>ROUND(K21,3)*100&amp;K53</f>
        <v>29,9%</v>
      </c>
      <c r="M51" s="196" t="str">
        <f>ROUND(L21,3)*100&amp;K53</f>
        <v>28,1%</v>
      </c>
      <c r="N51" s="196" t="str">
        <f>ROUND(M21,3)*100&amp;K53</f>
        <v>31,8%</v>
      </c>
      <c r="O51" s="72" t="str">
        <f>CONCATENATE(L51," ",K50,M51," ",K54," ",N51,K52)</f>
        <v>29,9% (28,1% a 31,8%)</v>
      </c>
      <c r="P51" s="126"/>
      <c r="Q51" s="5"/>
      <c r="V51" s="5"/>
      <c r="W51" s="5"/>
    </row>
    <row r="52" spans="3:23" s="12" customFormat="1" ht="12.75" hidden="1" customHeight="1" x14ac:dyDescent="0.3">
      <c r="C52" s="191" t="s">
        <v>45</v>
      </c>
      <c r="D52" s="192">
        <f>ROUND(E7,0)</f>
        <v>708</v>
      </c>
      <c r="E52" s="192">
        <f>ROUND(E8,0)</f>
        <v>752</v>
      </c>
      <c r="F52" s="1">
        <f>ROUND(J14,2)</f>
        <v>1.03</v>
      </c>
      <c r="G52" s="44">
        <f>ROUND(L26,4)</f>
        <v>4.48E-2</v>
      </c>
      <c r="H52" s="193">
        <f>ROUND(L27,0)</f>
        <v>22</v>
      </c>
      <c r="I52" s="197">
        <f>ROUND(O32,4)</f>
        <v>0.27929999999999999</v>
      </c>
      <c r="J52" s="108"/>
      <c r="K52" s="195" t="s">
        <v>45</v>
      </c>
      <c r="L52" s="64" t="str">
        <f>ROUND(K22,3)*100&amp;K53</f>
        <v>31,8%</v>
      </c>
      <c r="M52" s="64" t="str">
        <f>ROUND(L22,3)*100&amp;K53</f>
        <v>29,9%</v>
      </c>
      <c r="N52" s="64" t="str">
        <f>ROUND(M22,3)*100&amp;K53</f>
        <v>33,7%</v>
      </c>
      <c r="O52" s="72" t="str">
        <f>CONCATENATE(L52," ",K50,M52," ",K54," ",N52,K52)</f>
        <v>31,8% (29,9% a 33,7%)</v>
      </c>
      <c r="P52" s="79"/>
    </row>
    <row r="53" spans="3:23" ht="12.75" hidden="1" customHeight="1" x14ac:dyDescent="0.3">
      <c r="C53" s="191" t="s">
        <v>47</v>
      </c>
      <c r="D53" s="198" t="s">
        <v>54</v>
      </c>
      <c r="E53" s="198" t="s">
        <v>55</v>
      </c>
      <c r="F53" s="198" t="s">
        <v>4</v>
      </c>
      <c r="G53" s="198" t="s">
        <v>50</v>
      </c>
      <c r="H53" s="199" t="s">
        <v>48</v>
      </c>
      <c r="I53" s="162" t="s">
        <v>51</v>
      </c>
      <c r="J53" s="92"/>
      <c r="K53" s="195" t="s">
        <v>47</v>
      </c>
      <c r="L53" s="64" t="str">
        <f>ROUND(K23,3)*100&amp;K53</f>
        <v>30,9%</v>
      </c>
      <c r="M53" s="64" t="str">
        <f>ROUND(L23,3)*100&amp;K53</f>
        <v>29,6%</v>
      </c>
      <c r="N53" s="64" t="str">
        <f>ROUND(M23,3)*100&amp;K53</f>
        <v>32,2%</v>
      </c>
      <c r="O53" s="72" t="str">
        <f>CONCATENATE(L53," ",K50,M53," ",K54," ",N53,K52)</f>
        <v>30,9% (29,6% a 32,2%)</v>
      </c>
      <c r="P53" s="79"/>
    </row>
    <row r="54" spans="3:23" ht="12.75" hidden="1" customHeight="1" x14ac:dyDescent="0.3">
      <c r="C54" s="200" t="s">
        <v>19</v>
      </c>
      <c r="D54" s="201" t="str">
        <f>CONCATENATE(D52,C55,D21," ",C50,L51,C52)</f>
        <v>708/2365 (29,9%)</v>
      </c>
      <c r="E54" s="87" t="str">
        <f>CONCATENATE(E52,C55,D22," ",C50,L52,C52)</f>
        <v>752/2366 (31,8%)</v>
      </c>
      <c r="F54" s="201" t="str">
        <f>CONCATENATE(F50," ",C50,F51,C51,F52,C52)</f>
        <v>0,94 (0,86-1,03)</v>
      </c>
      <c r="G54" s="201" t="str">
        <f>CONCATENATE(G50*100,C53," ",C50,G51*100,C53," ",C54," ",G52*100,C53,C52)</f>
        <v>1,85% (-0,78% a 4,48%)</v>
      </c>
      <c r="H54" s="162" t="str">
        <f>CONCATENATE(H50," ",C50,H52," ",C54," ",H51,C52)</f>
        <v>54 (22 a -128)</v>
      </c>
      <c r="I54" s="162" t="str">
        <f>CONCATENATE(I52*100,C53)</f>
        <v>27,93%</v>
      </c>
      <c r="J54" s="92"/>
      <c r="K54" s="202" t="s">
        <v>19</v>
      </c>
      <c r="L54" s="20"/>
      <c r="M54" s="20"/>
      <c r="N54" s="20"/>
      <c r="O54" s="91"/>
      <c r="P54" s="126"/>
      <c r="Q54" s="5"/>
      <c r="V54" s="5"/>
      <c r="W54" s="5"/>
    </row>
    <row r="55" spans="3:23" ht="13.5" hidden="1" customHeight="1" x14ac:dyDescent="0.3">
      <c r="C55" s="203" t="s">
        <v>49</v>
      </c>
      <c r="D55" s="141"/>
      <c r="E55" s="141"/>
      <c r="F55" s="141"/>
      <c r="G55" s="141"/>
      <c r="H55" s="204"/>
      <c r="I55" s="205"/>
      <c r="J55" s="92"/>
      <c r="K55" s="206" t="s">
        <v>49</v>
      </c>
      <c r="L55" s="141"/>
      <c r="M55" s="141"/>
      <c r="N55" s="141"/>
      <c r="O55" s="207"/>
      <c r="P55" s="139"/>
      <c r="Q55" s="5"/>
      <c r="V55" s="5"/>
      <c r="W55" s="5"/>
    </row>
    <row r="56" spans="3:23" x14ac:dyDescent="0.3">
      <c r="C56" s="71"/>
      <c r="H56" s="92"/>
      <c r="I56" s="92"/>
      <c r="J56" s="92"/>
      <c r="K56" s="92"/>
      <c r="L56" s="92"/>
      <c r="M56" s="99"/>
      <c r="N56" s="92"/>
      <c r="O56" s="92"/>
      <c r="P56" s="5"/>
      <c r="Q56" s="5"/>
      <c r="V56" s="5"/>
      <c r="W56" s="5"/>
    </row>
    <row r="57" spans="3:23" ht="27" customHeight="1" x14ac:dyDescent="0.3">
      <c r="C57" s="71"/>
      <c r="D57" s="208" t="s">
        <v>54</v>
      </c>
      <c r="E57" s="208" t="s">
        <v>55</v>
      </c>
      <c r="F57" s="209" t="str">
        <f>CONCATENATE(F53," ",C50,I2," ",C49,C53,C52)</f>
        <v>RR (IC 95%)</v>
      </c>
      <c r="G57" s="209" t="str">
        <f>CONCATENATE(G53," ",C50,I2," ",C49,C53,C52)</f>
        <v>RAR (IC 95%)</v>
      </c>
      <c r="H57" s="209" t="str">
        <f>CONCATENATE(H53," ",C50,I2," ",C49,C53,C52)</f>
        <v>NNT (IC 95%)</v>
      </c>
      <c r="I57" s="209" t="s">
        <v>52</v>
      </c>
      <c r="J57" s="210"/>
      <c r="K57" s="209" t="s">
        <v>59</v>
      </c>
      <c r="M57" s="209" t="s">
        <v>97</v>
      </c>
      <c r="N57" s="209" t="s">
        <v>98</v>
      </c>
      <c r="P57" s="5"/>
      <c r="Q57" s="5"/>
      <c r="V57" s="5"/>
      <c r="W57" s="5"/>
    </row>
    <row r="58" spans="3:23" ht="21" customHeight="1" x14ac:dyDescent="0.3">
      <c r="C58" s="71"/>
      <c r="D58" s="87" t="str">
        <f t="shared" ref="D58:I58" si="0">D54</f>
        <v>708/2365 (29,9%)</v>
      </c>
      <c r="E58" s="87" t="str">
        <f t="shared" si="0"/>
        <v>752/2366 (31,8%)</v>
      </c>
      <c r="F58" s="87" t="str">
        <f t="shared" si="0"/>
        <v>0,94 (0,86-1,03)</v>
      </c>
      <c r="G58" s="87" t="str">
        <f t="shared" si="0"/>
        <v>1,85% (-0,78% a 4,48%)</v>
      </c>
      <c r="H58" s="87" t="str">
        <f t="shared" si="0"/>
        <v>54 (22 a -128)</v>
      </c>
      <c r="I58" s="87" t="str">
        <f t="shared" si="0"/>
        <v>27,93%</v>
      </c>
      <c r="J58" s="211"/>
      <c r="K58" s="212">
        <f>D45</f>
        <v>0.16907940703410496</v>
      </c>
      <c r="M58" s="213">
        <f>IF((L26*M26&lt;0),K23,K21)</f>
        <v>0.30860283238216024</v>
      </c>
      <c r="N58" s="213">
        <f>IF((L26*M26&lt;0),K23,K22)</f>
        <v>0.30860283238216024</v>
      </c>
      <c r="P58" s="5"/>
      <c r="Q58" s="5"/>
      <c r="V58" s="5"/>
      <c r="W58" s="5"/>
    </row>
    <row r="59" spans="3:23" x14ac:dyDescent="0.3">
      <c r="M59" s="4"/>
    </row>
    <row r="60" spans="3:23" x14ac:dyDescent="0.3">
      <c r="M60" s="4"/>
    </row>
    <row r="61" spans="3:23" x14ac:dyDescent="0.3">
      <c r="C61" s="226" t="s">
        <v>204</v>
      </c>
    </row>
    <row r="62" spans="3:23" x14ac:dyDescent="0.3">
      <c r="C62" s="218" t="s">
        <v>108</v>
      </c>
    </row>
    <row r="63" spans="3:23" ht="13.5" thickBot="1" x14ac:dyDescent="0.35"/>
    <row r="64" spans="3:23" ht="26.5" customHeight="1" thickBot="1" x14ac:dyDescent="0.35">
      <c r="C64" s="279" t="s">
        <v>150</v>
      </c>
      <c r="D64" s="280"/>
      <c r="E64" s="280"/>
      <c r="F64" s="281"/>
    </row>
    <row r="65" spans="3:14" ht="57.5" customHeight="1" thickBot="1" x14ac:dyDescent="0.35">
      <c r="C65" s="216" t="s">
        <v>103</v>
      </c>
      <c r="D65" s="229" t="s">
        <v>109</v>
      </c>
      <c r="E65" s="230" t="s">
        <v>110</v>
      </c>
      <c r="F65" s="217" t="s">
        <v>100</v>
      </c>
    </row>
    <row r="66" spans="3:14" x14ac:dyDescent="0.3">
      <c r="C66" s="221"/>
      <c r="D66" s="222"/>
      <c r="E66" s="222"/>
      <c r="F66" s="222"/>
      <c r="L66" s="254"/>
      <c r="M66" s="254"/>
    </row>
    <row r="67" spans="3:14" ht="16" customHeight="1" x14ac:dyDescent="0.3">
      <c r="C67" s="250" t="s">
        <v>112</v>
      </c>
      <c r="D67" s="231" t="s">
        <v>195</v>
      </c>
      <c r="E67" s="231" t="s">
        <v>196</v>
      </c>
      <c r="F67" s="251">
        <v>7.7164358096257588E-2</v>
      </c>
      <c r="L67" s="254"/>
      <c r="M67" s="254"/>
    </row>
    <row r="68" spans="3:14" ht="16" customHeight="1" x14ac:dyDescent="0.3">
      <c r="C68" s="250" t="s">
        <v>113</v>
      </c>
      <c r="D68" s="231" t="s">
        <v>155</v>
      </c>
      <c r="E68" s="231" t="s">
        <v>172</v>
      </c>
      <c r="F68" s="251">
        <v>0.34905372063189666</v>
      </c>
      <c r="L68" s="254"/>
      <c r="M68" s="254"/>
    </row>
    <row r="69" spans="3:14" ht="16" customHeight="1" x14ac:dyDescent="0.3">
      <c r="C69" s="250" t="s">
        <v>130</v>
      </c>
      <c r="D69" s="231" t="s">
        <v>189</v>
      </c>
      <c r="E69" s="231" t="s">
        <v>190</v>
      </c>
      <c r="F69" s="251">
        <v>0.37680407192757859</v>
      </c>
    </row>
    <row r="70" spans="3:14" ht="16" customHeight="1" x14ac:dyDescent="0.3">
      <c r="C70" s="253" t="s">
        <v>131</v>
      </c>
      <c r="D70" s="231" t="s">
        <v>192</v>
      </c>
      <c r="E70" s="231" t="s">
        <v>191</v>
      </c>
      <c r="F70" s="265">
        <v>3.3946740417733198E-2</v>
      </c>
    </row>
    <row r="71" spans="3:14" ht="16" customHeight="1" x14ac:dyDescent="0.3">
      <c r="C71" s="253" t="s">
        <v>206</v>
      </c>
      <c r="D71" s="231" t="s">
        <v>193</v>
      </c>
      <c r="E71" s="231" t="s">
        <v>194</v>
      </c>
      <c r="F71" s="251">
        <v>0.47953498324119415</v>
      </c>
    </row>
    <row r="72" spans="3:14" ht="16" customHeight="1" x14ac:dyDescent="0.3">
      <c r="C72" s="221" t="s">
        <v>139</v>
      </c>
      <c r="D72" s="232"/>
      <c r="E72" s="232"/>
      <c r="F72" s="232"/>
    </row>
    <row r="73" spans="3:14" ht="16" customHeight="1" x14ac:dyDescent="0.3">
      <c r="C73" s="250" t="s">
        <v>106</v>
      </c>
      <c r="D73" s="231" t="s">
        <v>156</v>
      </c>
      <c r="E73" s="231" t="s">
        <v>173</v>
      </c>
      <c r="F73" s="251">
        <v>0.88819834856088387</v>
      </c>
    </row>
    <row r="74" spans="3:14" ht="16" customHeight="1" x14ac:dyDescent="0.3">
      <c r="C74" s="250" t="s">
        <v>140</v>
      </c>
      <c r="D74" s="231" t="s">
        <v>157</v>
      </c>
      <c r="E74" s="231" t="s">
        <v>174</v>
      </c>
      <c r="F74" s="251">
        <v>0.17745619749385622</v>
      </c>
    </row>
    <row r="75" spans="3:14" ht="16" customHeight="1" x14ac:dyDescent="0.3">
      <c r="C75" s="252" t="s">
        <v>141</v>
      </c>
      <c r="D75" s="231" t="s">
        <v>158</v>
      </c>
      <c r="E75" s="231" t="s">
        <v>175</v>
      </c>
      <c r="F75" s="251">
        <v>0.4611283541983619</v>
      </c>
      <c r="N75" s="254"/>
    </row>
    <row r="76" spans="3:14" ht="16" customHeight="1" x14ac:dyDescent="0.3">
      <c r="C76" s="252" t="s">
        <v>142</v>
      </c>
      <c r="D76" s="231" t="s">
        <v>159</v>
      </c>
      <c r="E76" s="231" t="s">
        <v>176</v>
      </c>
      <c r="F76" s="251">
        <v>0.88148807021339415</v>
      </c>
      <c r="N76" s="254"/>
    </row>
    <row r="77" spans="3:14" ht="16" customHeight="1" x14ac:dyDescent="0.3">
      <c r="C77" s="257" t="s">
        <v>118</v>
      </c>
      <c r="D77" s="258"/>
      <c r="E77" s="258"/>
      <c r="F77" s="258"/>
      <c r="N77" s="254"/>
    </row>
    <row r="78" spans="3:14" ht="16" customHeight="1" x14ac:dyDescent="0.3">
      <c r="C78" s="250" t="s">
        <v>115</v>
      </c>
      <c r="D78" s="231" t="s">
        <v>160</v>
      </c>
      <c r="E78" s="231" t="s">
        <v>177</v>
      </c>
      <c r="F78" s="251">
        <v>0.17930081123360925</v>
      </c>
    </row>
    <row r="79" spans="3:14" ht="16" customHeight="1" x14ac:dyDescent="0.3">
      <c r="C79" s="261" t="s">
        <v>114</v>
      </c>
      <c r="D79" s="231" t="s">
        <v>161</v>
      </c>
      <c r="E79" s="231" t="s">
        <v>178</v>
      </c>
      <c r="F79" s="251">
        <v>0.25812237377663594</v>
      </c>
      <c r="G79" s="254"/>
      <c r="H79" s="254"/>
      <c r="I79" s="254"/>
      <c r="J79" s="254"/>
      <c r="K79" s="254"/>
      <c r="L79" s="254"/>
      <c r="M79" s="254"/>
    </row>
    <row r="80" spans="3:14" ht="16" customHeight="1" x14ac:dyDescent="0.3">
      <c r="C80" s="261" t="s">
        <v>116</v>
      </c>
      <c r="D80" s="231" t="s">
        <v>162</v>
      </c>
      <c r="E80" s="231" t="s">
        <v>179</v>
      </c>
      <c r="F80" s="251">
        <v>0.75494156981488958</v>
      </c>
      <c r="G80" s="254"/>
      <c r="H80" s="254"/>
      <c r="I80" s="254"/>
      <c r="J80" s="254"/>
      <c r="K80" s="254"/>
      <c r="L80" s="254"/>
      <c r="M80" s="254"/>
    </row>
    <row r="81" spans="3:16" ht="16" customHeight="1" x14ac:dyDescent="0.3">
      <c r="C81" s="261" t="s">
        <v>205</v>
      </c>
      <c r="D81" s="231" t="s">
        <v>163</v>
      </c>
      <c r="E81" s="231" t="s">
        <v>180</v>
      </c>
      <c r="F81" s="265">
        <v>4.8918051204652896E-2</v>
      </c>
      <c r="G81" s="254"/>
      <c r="H81" s="254"/>
      <c r="I81" s="254"/>
      <c r="J81" s="254"/>
      <c r="K81" s="254"/>
      <c r="L81" s="254"/>
      <c r="M81" s="254"/>
      <c r="N81" s="254"/>
      <c r="O81" s="254"/>
      <c r="P81" s="254"/>
    </row>
    <row r="82" spans="3:16" ht="16" customHeight="1" x14ac:dyDescent="0.3">
      <c r="C82" s="250" t="s">
        <v>117</v>
      </c>
      <c r="D82" s="231" t="s">
        <v>164</v>
      </c>
      <c r="E82" s="231" t="s">
        <v>181</v>
      </c>
      <c r="F82" s="251">
        <v>0.16907940703410496</v>
      </c>
      <c r="G82" s="254"/>
      <c r="H82" s="254"/>
      <c r="I82" s="254"/>
      <c r="J82" s="254"/>
      <c r="K82" s="254"/>
      <c r="L82" s="254"/>
      <c r="M82" s="254"/>
      <c r="N82" s="254"/>
      <c r="O82" s="254"/>
      <c r="P82" s="254"/>
    </row>
    <row r="83" spans="3:16" ht="16" customHeight="1" x14ac:dyDescent="0.3">
      <c r="C83" s="252" t="s">
        <v>119</v>
      </c>
      <c r="D83" s="233" t="s">
        <v>120</v>
      </c>
      <c r="E83" s="233" t="s">
        <v>121</v>
      </c>
      <c r="F83" s="265">
        <v>4.7772771845558386E-2</v>
      </c>
      <c r="G83" s="254"/>
      <c r="H83" s="254"/>
      <c r="I83" s="254"/>
      <c r="J83" s="254"/>
      <c r="K83" s="254"/>
      <c r="L83" s="254"/>
      <c r="M83" s="254"/>
      <c r="N83" s="254"/>
      <c r="O83" s="254"/>
      <c r="P83" s="254"/>
    </row>
    <row r="84" spans="3:16" ht="7.5" customHeight="1" x14ac:dyDescent="0.3">
      <c r="C84" s="263"/>
      <c r="D84" s="264"/>
      <c r="E84" s="264"/>
      <c r="F84" s="262"/>
      <c r="G84" s="254"/>
      <c r="H84" s="254"/>
      <c r="I84" s="254"/>
      <c r="J84" s="254"/>
      <c r="K84" s="254"/>
      <c r="L84" s="254"/>
      <c r="M84" s="254"/>
      <c r="N84" s="254"/>
      <c r="O84" s="254"/>
      <c r="P84" s="254"/>
    </row>
    <row r="85" spans="3:16" ht="16" customHeight="1" x14ac:dyDescent="0.3">
      <c r="C85" s="266" t="s">
        <v>143</v>
      </c>
      <c r="D85" s="233" t="s">
        <v>165</v>
      </c>
      <c r="E85" s="233" t="s">
        <v>182</v>
      </c>
      <c r="F85" s="251">
        <v>0.58063421958343953</v>
      </c>
      <c r="G85" s="254"/>
      <c r="H85" s="254"/>
      <c r="I85" s="254"/>
      <c r="J85" s="254"/>
      <c r="K85" s="254"/>
      <c r="L85" s="254"/>
      <c r="M85" s="254"/>
      <c r="N85" s="254"/>
      <c r="O85" s="254"/>
      <c r="P85" s="254"/>
    </row>
    <row r="86" spans="3:16" ht="16" customHeight="1" x14ac:dyDescent="0.3">
      <c r="C86" s="256" t="s">
        <v>154</v>
      </c>
      <c r="D86" s="255"/>
      <c r="E86" s="255"/>
      <c r="F86" s="255"/>
      <c r="G86" s="254"/>
      <c r="H86" s="254"/>
      <c r="I86" s="254"/>
      <c r="J86" s="254"/>
      <c r="K86" s="254"/>
      <c r="L86" s="254"/>
      <c r="M86" s="254"/>
      <c r="N86" s="254"/>
      <c r="O86" s="254"/>
      <c r="P86" s="254"/>
    </row>
    <row r="87" spans="3:16" ht="27" customHeight="1" x14ac:dyDescent="0.3">
      <c r="C87" s="252" t="s">
        <v>151</v>
      </c>
      <c r="D87" s="231" t="s">
        <v>166</v>
      </c>
      <c r="E87" s="231" t="s">
        <v>183</v>
      </c>
      <c r="F87" s="251">
        <v>0.83152655271813791</v>
      </c>
      <c r="G87" s="254"/>
      <c r="H87" s="254"/>
      <c r="I87" s="254"/>
      <c r="J87" s="254"/>
      <c r="K87" s="254"/>
      <c r="L87" s="254"/>
      <c r="M87" s="254"/>
      <c r="N87" s="254"/>
    </row>
    <row r="88" spans="3:16" ht="16" customHeight="1" x14ac:dyDescent="0.3">
      <c r="C88" s="252" t="s">
        <v>144</v>
      </c>
      <c r="D88" s="231" t="s">
        <v>167</v>
      </c>
      <c r="E88" s="231" t="s">
        <v>184</v>
      </c>
      <c r="F88" s="251">
        <v>0.60006628290069264</v>
      </c>
      <c r="G88" s="254"/>
      <c r="H88" s="254"/>
      <c r="I88" s="254"/>
      <c r="J88" s="254"/>
      <c r="K88" s="254"/>
      <c r="L88" s="254"/>
      <c r="M88" s="254"/>
      <c r="N88" s="254"/>
    </row>
    <row r="89" spans="3:16" ht="16" customHeight="1" x14ac:dyDescent="0.3">
      <c r="C89" s="252" t="s">
        <v>147</v>
      </c>
      <c r="D89" s="231" t="s">
        <v>168</v>
      </c>
      <c r="E89" s="231" t="s">
        <v>185</v>
      </c>
      <c r="F89" s="251">
        <v>0.57184827717281894</v>
      </c>
      <c r="G89" s="254"/>
      <c r="H89" s="254"/>
      <c r="I89" s="254"/>
      <c r="J89" s="254"/>
      <c r="K89" s="254"/>
      <c r="L89" s="254"/>
      <c r="M89" s="254"/>
      <c r="N89" s="254"/>
    </row>
    <row r="90" spans="3:16" ht="16" customHeight="1" x14ac:dyDescent="0.3">
      <c r="C90" s="260" t="s">
        <v>145</v>
      </c>
      <c r="D90" s="231" t="s">
        <v>169</v>
      </c>
      <c r="E90" s="231" t="s">
        <v>186</v>
      </c>
      <c r="F90" s="251">
        <v>0.71848748338220036</v>
      </c>
      <c r="G90" s="254"/>
      <c r="H90" s="254"/>
      <c r="I90" s="254"/>
      <c r="J90" s="254"/>
      <c r="K90" s="254"/>
      <c r="L90" s="254"/>
      <c r="M90" s="254"/>
    </row>
    <row r="91" spans="3:16" ht="16" customHeight="1" x14ac:dyDescent="0.3">
      <c r="C91" s="260" t="s">
        <v>146</v>
      </c>
      <c r="D91" s="231" t="s">
        <v>170</v>
      </c>
      <c r="E91" s="231" t="s">
        <v>187</v>
      </c>
      <c r="F91" s="251">
        <v>0.76554969365312475</v>
      </c>
      <c r="G91" s="254"/>
      <c r="H91" s="254"/>
      <c r="I91" s="254"/>
      <c r="J91" s="254"/>
      <c r="K91" s="254"/>
      <c r="L91" s="254"/>
      <c r="M91" s="254"/>
    </row>
    <row r="92" spans="3:16" ht="16" customHeight="1" x14ac:dyDescent="0.3">
      <c r="C92" s="260" t="s">
        <v>148</v>
      </c>
      <c r="D92" s="231" t="s">
        <v>171</v>
      </c>
      <c r="E92" s="231" t="s">
        <v>188</v>
      </c>
      <c r="F92" s="251">
        <v>0.36756772819492178</v>
      </c>
      <c r="G92" s="254"/>
      <c r="H92" s="254"/>
      <c r="I92" s="254"/>
      <c r="J92" s="254"/>
      <c r="K92" s="254"/>
      <c r="L92" s="254"/>
      <c r="M92" s="254"/>
    </row>
    <row r="93" spans="3:16" ht="16" customHeight="1" x14ac:dyDescent="0.3">
      <c r="C93" s="256" t="s">
        <v>132</v>
      </c>
      <c r="G93" s="254"/>
    </row>
    <row r="94" spans="3:16" ht="16" customHeight="1" x14ac:dyDescent="0.3">
      <c r="C94" s="259" t="s">
        <v>137</v>
      </c>
      <c r="D94" s="231" t="s">
        <v>199</v>
      </c>
      <c r="E94" s="231" t="s">
        <v>198</v>
      </c>
      <c r="F94" s="251">
        <v>0.15736505665829539</v>
      </c>
      <c r="G94" s="254"/>
    </row>
    <row r="95" spans="3:16" ht="16" customHeight="1" x14ac:dyDescent="0.3">
      <c r="C95" s="259" t="s">
        <v>138</v>
      </c>
      <c r="D95" s="231" t="s">
        <v>197</v>
      </c>
      <c r="E95" s="231" t="s">
        <v>197</v>
      </c>
      <c r="F95" s="251">
        <v>1</v>
      </c>
      <c r="G95" s="254"/>
    </row>
    <row r="96" spans="3:16" ht="16" customHeight="1" x14ac:dyDescent="0.3">
      <c r="C96" s="260" t="s">
        <v>133</v>
      </c>
      <c r="D96" s="231" t="s">
        <v>122</v>
      </c>
      <c r="E96" s="231" t="s">
        <v>123</v>
      </c>
      <c r="F96" s="251">
        <v>0.2888985544844288</v>
      </c>
      <c r="G96" s="254"/>
    </row>
    <row r="97" spans="3:12" ht="16" customHeight="1" x14ac:dyDescent="0.3">
      <c r="C97" s="260" t="s">
        <v>134</v>
      </c>
      <c r="D97" s="231" t="s">
        <v>124</v>
      </c>
      <c r="E97" s="231" t="s">
        <v>125</v>
      </c>
      <c r="F97" s="251">
        <v>0.70294873998805085</v>
      </c>
      <c r="G97" s="254"/>
    </row>
    <row r="98" spans="3:12" ht="16" customHeight="1" x14ac:dyDescent="0.3">
      <c r="C98" s="260" t="s">
        <v>135</v>
      </c>
      <c r="D98" s="231" t="s">
        <v>126</v>
      </c>
      <c r="E98" s="231" t="s">
        <v>127</v>
      </c>
      <c r="F98" s="251">
        <v>0.55571795544815816</v>
      </c>
      <c r="H98" s="254" t="s">
        <v>202</v>
      </c>
      <c r="J98" s="254" t="s">
        <v>200</v>
      </c>
      <c r="L98" s="254" t="s">
        <v>152</v>
      </c>
    </row>
    <row r="99" spans="3:12" ht="16" customHeight="1" x14ac:dyDescent="0.3">
      <c r="C99" s="259" t="s">
        <v>136</v>
      </c>
      <c r="D99" s="231" t="s">
        <v>128</v>
      </c>
      <c r="E99" s="231" t="s">
        <v>129</v>
      </c>
      <c r="F99" s="251">
        <v>0.15736505665829539</v>
      </c>
      <c r="H99" s="254" t="s">
        <v>203</v>
      </c>
      <c r="J99" s="254" t="s">
        <v>201</v>
      </c>
      <c r="L99" s="254" t="s">
        <v>153</v>
      </c>
    </row>
    <row r="100" spans="3:12" ht="4.5" customHeight="1" x14ac:dyDescent="0.3"/>
    <row r="101" spans="3:12" ht="25" customHeight="1" x14ac:dyDescent="0.3">
      <c r="C101" s="268" t="s">
        <v>149</v>
      </c>
      <c r="D101" s="269"/>
      <c r="E101" s="269"/>
      <c r="F101" s="270"/>
    </row>
  </sheetData>
  <mergeCells count="5">
    <mergeCell ref="C101:F101"/>
    <mergeCell ref="C2:G2"/>
    <mergeCell ref="C3:G3"/>
    <mergeCell ref="D40:E40"/>
    <mergeCell ref="C64:F64"/>
  </mergeCells>
  <phoneticPr fontId="2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Baseline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2023-02-11T11:09:43Z</dcterms:modified>
</cp:coreProperties>
</file>