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230129-Galo\5-Challenges\20230113-SPARCL\"/>
    </mc:Choice>
  </mc:AlternateContent>
  <xr:revisionPtr revIDLastSave="0" documentId="13_ncr:1_{8A19CCD0-C8E0-4F6C-9821-D01047F14731}" xr6:coauthVersionLast="36" xr6:coauthVersionMax="47" xr10:uidLastSave="{00000000-0000-0000-0000-000000000000}"/>
  <bookViews>
    <workbookView xWindow="-110" yWindow="-110" windowWidth="19420" windowHeight="10420" tabRatio="642" xr2:uid="{00000000-000D-0000-FFFF-FFFF00000000}"/>
  </bookViews>
  <sheets>
    <sheet name="IncAcum" sheetId="6" r:id="rId1"/>
    <sheet name="Gr1.1 Ict-F 3x3" sheetId="15" r:id="rId2"/>
    <sheet name="Gr1.2 AIT 3x3" sheetId="19" r:id="rId3"/>
    <sheet name="Gr1.3 IAM-noF 3x3" sheetId="20" r:id="rId4"/>
    <sheet name="Gr1.3 Revasc 3x3" sheetId="21" r:id="rId5"/>
  </sheets>
  <definedNames>
    <definedName name="_xlchart.v1.0" hidden="1">IncAcum!$R$6</definedName>
    <definedName name="_xlchart.v1.1" hidden="1">IncAcum!$R$7</definedName>
    <definedName name="_xlchart.v1.2" hidden="1">IncAcum!$R$8</definedName>
    <definedName name="_xlchart.v1.3" hidden="1">IncAcum!$S$5</definedName>
    <definedName name="_xlchart.v1.4" hidden="1">IncAcum!$S$6</definedName>
    <definedName name="_xlchart.v1.5" hidden="1">IncAcum!$S$7</definedName>
    <definedName name="_xlchart.v1.6" hidden="1">IncAcum!$S$8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2" i="6" l="1"/>
  <c r="E112" i="6" s="1"/>
  <c r="D7" i="21" l="1"/>
  <c r="D25" i="21" l="1"/>
  <c r="E25" i="21" s="1"/>
  <c r="E14" i="21"/>
  <c r="D14" i="21"/>
  <c r="F7" i="21"/>
  <c r="C6" i="21"/>
  <c r="D9" i="21" s="1"/>
  <c r="C7" i="21" s="1"/>
  <c r="B1" i="21"/>
  <c r="D7" i="20"/>
  <c r="D25" i="20"/>
  <c r="E14" i="20"/>
  <c r="D14" i="20"/>
  <c r="D10" i="20"/>
  <c r="F7" i="20"/>
  <c r="C6" i="20"/>
  <c r="E9" i="20" s="1"/>
  <c r="F2" i="20"/>
  <c r="G15" i="20" s="1"/>
  <c r="B1" i="20"/>
  <c r="D8" i="20" s="1"/>
  <c r="D7" i="19"/>
  <c r="E8" i="21" l="1"/>
  <c r="D10" i="21"/>
  <c r="D12" i="21" s="1"/>
  <c r="F2" i="21"/>
  <c r="G15" i="21" s="1"/>
  <c r="E26" i="21"/>
  <c r="D26" i="21"/>
  <c r="C26" i="21"/>
  <c r="E9" i="21"/>
  <c r="E11" i="21"/>
  <c r="E15" i="21" s="1"/>
  <c r="D8" i="21"/>
  <c r="E11" i="20"/>
  <c r="E12" i="20"/>
  <c r="D9" i="20"/>
  <c r="E7" i="20"/>
  <c r="E8" i="20"/>
  <c r="D15" i="20"/>
  <c r="E15" i="20"/>
  <c r="E25" i="20"/>
  <c r="D25" i="19"/>
  <c r="E14" i="19"/>
  <c r="D14" i="19"/>
  <c r="F7" i="19"/>
  <c r="C6" i="19"/>
  <c r="F2" i="19" s="1"/>
  <c r="G15" i="19" s="1"/>
  <c r="B1" i="19"/>
  <c r="D8" i="19" s="1"/>
  <c r="D7" i="15"/>
  <c r="D15" i="21" l="1"/>
  <c r="E7" i="21"/>
  <c r="E12" i="21"/>
  <c r="C7" i="20"/>
  <c r="D12" i="20"/>
  <c r="E26" i="20"/>
  <c r="C26" i="20"/>
  <c r="D26" i="20"/>
  <c r="D10" i="19"/>
  <c r="D15" i="19" s="1"/>
  <c r="E11" i="19"/>
  <c r="E15" i="19" s="1"/>
  <c r="D9" i="19"/>
  <c r="C7" i="19" s="1"/>
  <c r="E9" i="19"/>
  <c r="E7" i="19" s="1"/>
  <c r="E12" i="19"/>
  <c r="E8" i="19"/>
  <c r="E25" i="19"/>
  <c r="D26" i="19" s="1"/>
  <c r="F7" i="15"/>
  <c r="D12" i="19" l="1"/>
  <c r="E26" i="19"/>
  <c r="C26" i="19"/>
  <c r="E14" i="15"/>
  <c r="D14" i="15"/>
  <c r="C6" i="15"/>
  <c r="E11" i="15" s="1"/>
  <c r="E15" i="15" s="1"/>
  <c r="D25" i="15"/>
  <c r="E25" i="15" s="1"/>
  <c r="E26" i="15" s="1"/>
  <c r="B1" i="15"/>
  <c r="D8" i="15" l="1"/>
  <c r="D10" i="15"/>
  <c r="D15" i="15" s="1"/>
  <c r="F2" i="15"/>
  <c r="G15" i="15" s="1"/>
  <c r="E8" i="15"/>
  <c r="D9" i="15"/>
  <c r="E9" i="15"/>
  <c r="C26" i="15"/>
  <c r="D26" i="15"/>
  <c r="E8" i="6"/>
  <c r="E7" i="6"/>
  <c r="E12" i="15" l="1"/>
  <c r="E7" i="15"/>
  <c r="D12" i="15"/>
  <c r="C7" i="15"/>
  <c r="B14" i="6" l="1"/>
  <c r="B21" i="6"/>
  <c r="B22" i="6"/>
  <c r="B50" i="6"/>
  <c r="S5" i="6" l="1"/>
  <c r="V59" i="6" l="1"/>
  <c r="P14" i="6"/>
  <c r="T14" i="6"/>
  <c r="O14" i="6"/>
  <c r="S14" i="6" l="1"/>
  <c r="R14" i="6"/>
  <c r="Q14" i="6" l="1"/>
  <c r="S7" i="6"/>
  <c r="V7" i="6" s="1"/>
  <c r="T59" i="6"/>
  <c r="S6" i="6"/>
  <c r="V6" i="6" s="1"/>
  <c r="S59" i="6"/>
  <c r="R59" i="6" l="1"/>
  <c r="U59" i="6" s="1"/>
  <c r="S8" i="6"/>
  <c r="D53" i="6"/>
  <c r="E38" i="6"/>
  <c r="E37" i="6"/>
  <c r="I23" i="6"/>
  <c r="I22" i="6"/>
  <c r="C22" i="6"/>
  <c r="I21" i="6"/>
  <c r="C21" i="6"/>
  <c r="G14" i="6"/>
  <c r="E51" i="6" s="1"/>
  <c r="D14" i="6"/>
  <c r="F9" i="6"/>
  <c r="D9" i="6"/>
  <c r="V8" i="6" l="1"/>
  <c r="V9" i="6" s="1"/>
  <c r="B23" i="6"/>
  <c r="C23" i="6"/>
  <c r="G23" i="6" s="1"/>
  <c r="S9" i="6"/>
  <c r="T8" i="6" s="1"/>
  <c r="E22" i="6"/>
  <c r="E39" i="6"/>
  <c r="N21" i="6"/>
  <c r="C38" i="6"/>
  <c r="C43" i="6" s="1"/>
  <c r="G21" i="6"/>
  <c r="G22" i="6"/>
  <c r="D22" i="6"/>
  <c r="J22" i="6" s="1"/>
  <c r="K53" i="6" s="1"/>
  <c r="C53" i="6"/>
  <c r="K14" i="6"/>
  <c r="C37" i="6"/>
  <c r="T7" i="6" l="1"/>
  <c r="T6" i="6"/>
  <c r="F22" i="6"/>
  <c r="C39" i="6"/>
  <c r="E21" i="6"/>
  <c r="N23" i="6"/>
  <c r="D21" i="6"/>
  <c r="F21" i="6" s="1"/>
  <c r="E9" i="6"/>
  <c r="C14" i="6"/>
  <c r="F14" i="6" s="1"/>
  <c r="C42" i="6"/>
  <c r="L22" i="6" l="1"/>
  <c r="M53" i="6" s="1"/>
  <c r="I14" i="6"/>
  <c r="M14" i="6" s="1"/>
  <c r="K22" i="6"/>
  <c r="L53" i="6" s="1"/>
  <c r="E14" i="6"/>
  <c r="H14" i="6" s="1"/>
  <c r="E52" i="6" s="1"/>
  <c r="W21" i="6"/>
  <c r="J21" i="6"/>
  <c r="K52" i="6" s="1"/>
  <c r="J26" i="6"/>
  <c r="D38" i="6"/>
  <c r="D43" i="6" s="1"/>
  <c r="D37" i="6"/>
  <c r="L21" i="6"/>
  <c r="M52" i="6" s="1"/>
  <c r="K21" i="6"/>
  <c r="L52" i="6" s="1"/>
  <c r="N53" i="6" l="1"/>
  <c r="E53" i="6"/>
  <c r="D23" i="6"/>
  <c r="E23" i="6"/>
  <c r="L14" i="6"/>
  <c r="D39" i="6"/>
  <c r="D42" i="6"/>
  <c r="C45" i="6" s="1"/>
  <c r="K38" i="6"/>
  <c r="I37" i="6" s="1"/>
  <c r="F51" i="6"/>
  <c r="K26" i="6"/>
  <c r="L26" i="6"/>
  <c r="N22" i="6"/>
  <c r="N24" i="6" s="1"/>
  <c r="N25" i="6" s="1"/>
  <c r="N26" i="6" s="1"/>
  <c r="J27" i="6"/>
  <c r="N52" i="6"/>
  <c r="F23" i="6" l="1"/>
  <c r="L23" i="6" s="1"/>
  <c r="M54" i="6" s="1"/>
  <c r="W22" i="6"/>
  <c r="W23" i="6" s="1"/>
  <c r="W24" i="6" s="1"/>
  <c r="W25" i="6" s="1"/>
  <c r="J23" i="6"/>
  <c r="K54" i="6" s="1"/>
  <c r="Q28" i="6"/>
  <c r="N31" i="6" s="1"/>
  <c r="N32" i="6" s="1"/>
  <c r="H53" i="6" s="1"/>
  <c r="H55" i="6" s="1"/>
  <c r="H59" i="6" s="1"/>
  <c r="J32" i="6"/>
  <c r="T3" i="6" s="1"/>
  <c r="F52" i="6"/>
  <c r="L27" i="6"/>
  <c r="F53" i="6"/>
  <c r="K27" i="6"/>
  <c r="G43" i="6"/>
  <c r="C46" i="6"/>
  <c r="J59" i="6" s="1"/>
  <c r="J31" i="6"/>
  <c r="U3" i="6" s="1"/>
  <c r="G51" i="6"/>
  <c r="J29" i="6"/>
  <c r="J34" i="6"/>
  <c r="J30" i="6"/>
  <c r="V3" i="6" s="1"/>
  <c r="L59" i="6" l="1"/>
  <c r="O59" i="6" s="1"/>
  <c r="M59" i="6"/>
  <c r="P59" i="6" s="1"/>
  <c r="N33" i="6"/>
  <c r="E55" i="6"/>
  <c r="E59" i="6" s="1"/>
  <c r="K23" i="6"/>
  <c r="L54" i="6" s="1"/>
  <c r="N54" i="6" s="1"/>
  <c r="S3" i="6"/>
  <c r="K32" i="6"/>
  <c r="G52" i="6"/>
  <c r="L29" i="6"/>
  <c r="L31" i="6"/>
  <c r="L30" i="6"/>
  <c r="K34" i="6"/>
  <c r="K31" i="6"/>
  <c r="K29" i="6"/>
  <c r="G53" i="6"/>
  <c r="K30" i="6"/>
  <c r="L34" i="6"/>
  <c r="L32" i="6"/>
  <c r="F58" i="6" l="1"/>
  <c r="D55" i="6"/>
  <c r="D59" i="6" s="1"/>
  <c r="C55" i="6"/>
  <c r="C59" i="6" s="1"/>
  <c r="E58" i="6"/>
  <c r="F55" i="6"/>
  <c r="F59" i="6" s="1"/>
  <c r="G58" i="6"/>
  <c r="G55" i="6"/>
  <c r="G59" i="6" s="1"/>
</calcChain>
</file>

<file path=xl/sharedStrings.xml><?xml version="1.0" encoding="utf-8"?>
<sst xmlns="http://schemas.openxmlformats.org/spreadsheetml/2006/main" count="499" uniqueCount="306">
  <si>
    <t>días</t>
  </si>
  <si>
    <t>Resto de t sin éxito</t>
  </si>
  <si>
    <t>tSLEv sin la intervención</t>
  </si>
  <si>
    <t>PtSLEv por la intervención</t>
  </si>
  <si>
    <t>de los</t>
  </si>
  <si>
    <t>del grupo Interv</t>
  </si>
  <si>
    <t>del grupo Contr</t>
  </si>
  <si>
    <t>NO</t>
  </si>
  <si>
    <t>puede representarse llegando los</t>
  </si>
  <si>
    <t>pacientes, a los</t>
  </si>
  <si>
    <t>, pues habría que recortar o ampliar los tiempos respectivos de uno o más pacientes "libres de evento" o "con evento"</t>
  </si>
  <si>
    <t>NNT</t>
  </si>
  <si>
    <t xml:space="preserve">NOTA: </t>
  </si>
  <si>
    <t>Distribuir cuadros verdes tras todos los supervivientes al evento</t>
  </si>
  <si>
    <t>IC</t>
  </si>
  <si>
    <t>Enferman</t>
  </si>
  <si>
    <t>No enferman</t>
  </si>
  <si>
    <t>Con eventos</t>
  </si>
  <si>
    <t>Sin eventos</t>
  </si>
  <si>
    <t>Total</t>
  </si>
  <si>
    <r>
      <t xml:space="preserve">Los límites del intervalos de confianza son los exponentes neperianos o antilogaritmos de la ecuación [ ln RR + - Z </t>
    </r>
    <r>
      <rPr>
        <b/>
        <vertAlign val="subscript"/>
        <sz val="10"/>
        <rFont val="Calibri"/>
        <family val="2"/>
      </rPr>
      <t>α/2</t>
    </r>
    <r>
      <rPr>
        <b/>
        <sz val="10"/>
        <rFont val="Calibri"/>
        <family val="2"/>
      </rPr>
      <t xml:space="preserve"> * EE (ln RR) ]</t>
    </r>
  </si>
  <si>
    <t>EE del ln RR = Raíz (varianza del ln RR) = Raíz [b/ a(a+b)]+[d / c(c+d)]. También es igual a Raíz (1/a + 1/c - 1/a+b -1/c+d)</t>
  </si>
  <si>
    <t>ln RR</t>
  </si>
  <si>
    <t>EE del ln RR = Raíz (varianza del ln RR) = Raíz [b / a(a+b)]+[d/ c(c+d)]</t>
  </si>
  <si>
    <r>
      <t xml:space="preserve">Z </t>
    </r>
    <r>
      <rPr>
        <b/>
        <vertAlign val="subscript"/>
        <sz val="10"/>
        <rFont val="Calibri"/>
        <family val="2"/>
      </rPr>
      <t>α/2</t>
    </r>
  </si>
  <si>
    <t>ln del LI IC</t>
  </si>
  <si>
    <t>ln del LS IC</t>
  </si>
  <si>
    <t>RR</t>
  </si>
  <si>
    <t>LI del IC</t>
  </si>
  <si>
    <t>LS del IC</t>
  </si>
  <si>
    <t>RRR</t>
  </si>
  <si>
    <t>Límite inferior del IC</t>
  </si>
  <si>
    <t>Límite superior del IC</t>
  </si>
  <si>
    <r>
      <t xml:space="preserve">MÉTODO DE NEWCOMBE-WILSON: </t>
    </r>
    <r>
      <rPr>
        <sz val="10"/>
        <rFont val="Calibri"/>
        <family val="2"/>
      </rPr>
      <t>Que puede utilizarse sin necesidad de estar pendientes del tamaño del amuestra o de proporciones cuyo p &lt;5 / n. Por ello puede utilizarse para las excepciones anteriores y para todas todas</t>
    </r>
  </si>
  <si>
    <t>Para calcular el IC 95% se sigue la iteración de calcular tres valores, que denominamos A, B y C. Pues bien, el IC = (A+-B) / C; y sale directamente sin sumar ni restar a la estimación puntual. Se observará que los extremos tienen distinta extensión.</t>
  </si>
  <si>
    <t>Aunque es mejor calcularlo por ji^2 de Pearson, puede utilizarse una aproximación al cálculo de la "p de la diferencia"</t>
  </si>
  <si>
    <r>
      <t>p</t>
    </r>
    <r>
      <rPr>
        <sz val="10"/>
        <rFont val="Calibri"/>
        <family val="2"/>
      </rPr>
      <t xml:space="preserve"> = eventos / n</t>
    </r>
  </si>
  <si>
    <t>A= 2*eventos + z^2</t>
  </si>
  <si>
    <r>
      <t xml:space="preserve">B= z * Raíz [z^2 + 4*eventos (1 - 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 xml:space="preserve">)] </t>
    </r>
  </si>
  <si>
    <t>C= 2(n+z^2)</t>
  </si>
  <si>
    <t>IC = (A+-B)/C</t>
  </si>
  <si>
    <t>Coinciden z^2 de una distribución normal tipificada (=&gt; muestras grandes) con ji^2 con un grado de libertad (EA, pág 254)</t>
  </si>
  <si>
    <t>eventos</t>
  </si>
  <si>
    <t>n (de muestra)</t>
  </si>
  <si>
    <t>p (proporción) = eventos / n</t>
  </si>
  <si>
    <r>
      <t xml:space="preserve">B= z * Raíz [z^2 + 4*eventos (1 - </t>
    </r>
    <r>
      <rPr>
        <b/>
        <i/>
        <sz val="10"/>
        <rFont val="Calibri"/>
        <family val="2"/>
      </rPr>
      <t>p</t>
    </r>
    <r>
      <rPr>
        <b/>
        <sz val="10"/>
        <rFont val="Calibri"/>
        <family val="2"/>
      </rPr>
      <t xml:space="preserve">)] </t>
    </r>
  </si>
  <si>
    <t>Z α/2 (0,05)</t>
  </si>
  <si>
    <t>Proporción</t>
  </si>
  <si>
    <t>CÁLCULO DE LA POTENCIA:</t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</si>
  <si>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</si>
  <si>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 xml:space="preserve">CÁLCULO DE LA </t>
    </r>
    <r>
      <rPr>
        <b/>
        <i/>
        <sz val="9"/>
        <rFont val="Calibri"/>
        <family val="2"/>
      </rPr>
      <t>p</t>
    </r>
  </si>
  <si>
    <r>
      <t xml:space="preserve">Z 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= Dif Proporc / EE</t>
    </r>
    <r>
      <rPr>
        <vertAlign val="subscript"/>
        <sz val="10"/>
        <rFont val="Calibri"/>
        <family val="2"/>
      </rPr>
      <t xml:space="preserve"> dif proporc</t>
    </r>
  </si>
  <si>
    <t xml:space="preserve"> p (no rechazar Ho │ Ho verdadera)</t>
  </si>
  <si>
    <t>Operar</t>
  </si>
  <si>
    <t>n = nº de los que hay en cada grupo (ojo, no de la suma de ambos)</t>
  </si>
  <si>
    <t>Dif Proporc =  RAR</t>
  </si>
  <si>
    <r>
      <t xml:space="preserve">1-α =  p (no rechazar Ho </t>
    </r>
    <r>
      <rPr>
        <sz val="10"/>
        <rFont val="Calibri"/>
        <family val="2"/>
      </rPr>
      <t>│ Ho verdadera)</t>
    </r>
  </si>
  <si>
    <t>d = diferencia de proporciones de ambos grupos o RAR</t>
  </si>
  <si>
    <r>
      <t xml:space="preserve">EE </t>
    </r>
    <r>
      <rPr>
        <vertAlign val="subscript"/>
        <sz val="10"/>
        <rFont val="Calibri"/>
        <family val="2"/>
      </rPr>
      <t>dif proporc</t>
    </r>
    <r>
      <rPr>
        <sz val="10"/>
        <rFont val="Calibri"/>
        <family val="2"/>
      </rPr>
      <t xml:space="preserve"> = Raíz{ [PM*(1-PM)/n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] + [PM*(1-PM)/n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] }= </t>
    </r>
  </si>
  <si>
    <t>pM = proporción "media" de los eventos = nº total eventos / nº suma de ambos grupos; qM= complementario</t>
  </si>
  <si>
    <t>Z α/2 = Dif Proporc / EE Dif proporc</t>
  </si>
  <si>
    <t>A continuación, se aplica: IC = RAR - Raíz [(p1-Li1)^2 + (Ls2-p2)^2]  hasta RAR + Raíz [(p2-Li2)^2 + (Ls1-p1)^2], cuidando colocar arriba la proporción mayor y abajo la menor</t>
  </si>
  <si>
    <r>
      <t>Zβ = [Raíz (n* Dif Proporc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/2PM</t>
    </r>
    <r>
      <rPr>
        <sz val="10"/>
        <rFont val="Calibri"/>
        <family val="2"/>
      </rPr>
      <t>*(1-PM)] - Z α/2</t>
    </r>
  </si>
  <si>
    <t>α = probab de que la diferencia detectada entre ambos sea debida al azar, en caso de que no exista</t>
  </si>
  <si>
    <r>
      <t>Ls1:</t>
    </r>
    <r>
      <rPr>
        <sz val="10"/>
        <rFont val="Calibri"/>
        <family val="2"/>
      </rPr>
      <t xml:space="preserve"> límite superior del grupo 1; </t>
    </r>
    <r>
      <rPr>
        <b/>
        <sz val="10"/>
        <rFont val="Calibri"/>
        <family val="2"/>
      </rPr>
      <t xml:space="preserve">Li2: </t>
    </r>
    <r>
      <rPr>
        <sz val="10"/>
        <rFont val="Calibri"/>
        <family val="2"/>
      </rPr>
      <t>límite inferior del grupo 2</t>
    </r>
  </si>
  <si>
    <t>1 -β = potencia estadística resultante =&gt; probab de detectar una diferencia entre ambos, en caso de que exista</t>
  </si>
  <si>
    <t>1-α = nivel e confianza =  p (no rechazar Ho │ Ho verdadera)</t>
  </si>
  <si>
    <t>RAR =</t>
  </si>
  <si>
    <t xml:space="preserve"> β =&gt; probabilidad de no detectar una diferencia que sí exista.</t>
  </si>
  <si>
    <t>NNT =</t>
  </si>
  <si>
    <t>Potencia de contraste</t>
  </si>
  <si>
    <r>
      <t xml:space="preserve">1 -β =  p (rechazar Ho </t>
    </r>
    <r>
      <rPr>
        <sz val="10"/>
        <rFont val="Calibri"/>
        <family val="2"/>
      </rPr>
      <t>│ Ho falsa)</t>
    </r>
  </si>
  <si>
    <t>DM: diferencia de proporciones</t>
  </si>
  <si>
    <r>
      <t>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= DM</t>
    </r>
  </si>
  <si>
    <t>=&gt;</t>
  </si>
  <si>
    <r>
      <t>EEDM (Z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) </t>
    </r>
    <r>
      <rPr>
        <sz val="10"/>
        <rFont val="Calibri"/>
        <family val="2"/>
      </rPr>
      <t>= DM</t>
    </r>
  </si>
  <si>
    <r>
      <t>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 =  (DM/EE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>) - Z</t>
    </r>
    <r>
      <rPr>
        <vertAlign val="subscript"/>
        <sz val="10"/>
        <rFont val="Calibri"/>
        <family val="2"/>
      </rPr>
      <t>1-α/2</t>
    </r>
    <r>
      <rPr>
        <sz val="10"/>
        <rFont val="Calibri"/>
        <family val="2"/>
      </rPr>
      <t xml:space="preserve"> </t>
    </r>
  </si>
  <si>
    <t>1 -β =  potencia estadística resultante =  p de detectar una diferencia entre ambos, en caso de que exista</t>
  </si>
  <si>
    <t>β =  probabilidad de no detectar una diferencia que sí exista =  p (no rechazar Ho │ Ho falsa)</t>
  </si>
  <si>
    <t>Chi cuadrado de Pearson</t>
  </si>
  <si>
    <t>Esperadas</t>
  </si>
  <si>
    <t>Expuestos</t>
  </si>
  <si>
    <t xml:space="preserve">χ² teórico alfa 0,05, y 1 g.l = </t>
  </si>
  <si>
    <t>No expuestos</t>
  </si>
  <si>
    <t>Grados de libertad = (Nº filas - 1 ) x (Nº columnas -1) =</t>
  </si>
  <si>
    <t>Totales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</si>
  <si>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</si>
  <si>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</si>
  <si>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</si>
  <si>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</si>
  <si>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r>
      <t>χ² cal= Sumat (observado</t>
    </r>
    <r>
      <rPr>
        <vertAlign val="subscript"/>
        <sz val="10"/>
        <rFont val="Calibri"/>
        <family val="2"/>
      </rPr>
      <t xml:space="preserve"> i </t>
    </r>
    <r>
      <rPr>
        <sz val="10"/>
        <rFont val="Calibri"/>
        <family val="2"/>
      </rPr>
      <t xml:space="preserve">-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</si>
  <si>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t>χ² cal - χ² teórico =</t>
  </si>
  <si>
    <t>χ² cal= Suma [(ao-ae)^2/ae +(bo-be)^2/be + (co-ce)^2/ce + (do-de)^2/de)]</t>
  </si>
  <si>
    <t>Es &lt; 0 =&gt;Acepto Ho =&gt; Homogeneidad o independencia (o tratamiento no eficaz)</t>
  </si>
  <si>
    <t>χ² cal=</t>
  </si>
  <si>
    <t>Es &gt; 0 =&gt;Rechazo Ho =&gt; Heterogenicidad o dependencia (o tratamiento eficaz)</t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</si>
  <si>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</si>
  <si>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t>Cálculo por incidencias acumuladas</t>
  </si>
  <si>
    <t>Estimación puntual e IC de cada proporción</t>
  </si>
  <si>
    <t>(</t>
  </si>
  <si>
    <t>-</t>
  </si>
  <si>
    <t>)</t>
  </si>
  <si>
    <t>%</t>
  </si>
  <si>
    <t>Nº event Interv (%)</t>
  </si>
  <si>
    <t>Nº event Control (%)</t>
  </si>
  <si>
    <t>RAR</t>
  </si>
  <si>
    <t>potencia</t>
  </si>
  <si>
    <t>a</t>
  </si>
  <si>
    <t>/</t>
  </si>
  <si>
    <t>Potencia</t>
  </si>
  <si>
    <t>% Intervención (Fact Box)</t>
  </si>
  <si>
    <t>% Control (Fact Box)</t>
  </si>
  <si>
    <t>t medio con Ev, con ABC por polígonos</t>
  </si>
  <si>
    <t>t x ABC, Intev</t>
  </si>
  <si>
    <t>t x ABC, Contr</t>
  </si>
  <si>
    <t>tiempo</t>
  </si>
  <si>
    <t>RA interv</t>
  </si>
  <si>
    <t>RA contr</t>
  </si>
  <si>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</si>
  <si>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t>Cálculo por incidencias acumuladas de RR, RAR, NNT, potencia estadística y valor de p</t>
  </si>
  <si>
    <t>Estimación puntual de las incidencias acumuladas</t>
  </si>
  <si>
    <t>Permanecenn sin Ev gracias a Mto Intervención</t>
  </si>
  <si>
    <t>Permanen sin Ev sin tomar Mto Intervención</t>
  </si>
  <si>
    <t>Tendrán el Ev, incluso tomando Mto Intervención</t>
  </si>
  <si>
    <t>RR (IC 95%)</t>
  </si>
  <si>
    <t>tiempo medio de Supervivencia Libre de Evento (tSLEv) sin la intervención</t>
  </si>
  <si>
    <t>Prolongación del tiempo medio de Supervivencia Libre de Evento (PtSLEv) por la intervención</t>
  </si>
  <si>
    <t>Total de t de seguimiento</t>
  </si>
  <si>
    <t>Total del tiempo medio de seguimiento</t>
  </si>
  <si>
    <t>% Interv (Fact Box)</t>
  </si>
  <si>
    <r>
      <t>Abreviaturas</t>
    </r>
    <r>
      <rPr>
        <sz val="8"/>
        <rFont val="Calibri"/>
        <family val="2"/>
      </rPr>
      <t xml:space="preserve">: </t>
    </r>
    <r>
      <rPr>
        <b/>
        <sz val="8"/>
        <rFont val="Calibri"/>
        <family val="2"/>
      </rPr>
      <t xml:space="preserve">IC: </t>
    </r>
    <r>
      <rPr>
        <sz val="8"/>
        <rFont val="Calibri"/>
        <family val="2"/>
      </rPr>
      <t xml:space="preserve">intervalo de confianza; </t>
    </r>
    <r>
      <rPr>
        <b/>
        <sz val="8"/>
        <rFont val="Calibri"/>
        <family val="2"/>
      </rPr>
      <t>RA</t>
    </r>
    <r>
      <rPr>
        <sz val="8"/>
        <rFont val="Calibri"/>
        <family val="2"/>
      </rPr>
      <t>: Riesgo Absoluto;</t>
    </r>
    <r>
      <rPr>
        <b/>
        <sz val="8"/>
        <rFont val="Calibri"/>
        <family val="2"/>
      </rPr>
      <t xml:space="preserve"> RR</t>
    </r>
    <r>
      <rPr>
        <sz val="8"/>
        <rFont val="Calibri"/>
        <family val="2"/>
      </rPr>
      <t xml:space="preserve">: Riesgo Relativo; </t>
    </r>
    <r>
      <rPr>
        <b/>
        <sz val="8"/>
        <rFont val="Calibri"/>
        <family val="2"/>
      </rPr>
      <t>RAR</t>
    </r>
    <r>
      <rPr>
        <sz val="8"/>
        <rFont val="Calibri"/>
        <family val="2"/>
      </rPr>
      <t xml:space="preserve">: Reducción Absoluta del Riesgo; </t>
    </r>
    <r>
      <rPr>
        <b/>
        <sz val="8"/>
        <rFont val="Calibri"/>
        <family val="2"/>
      </rPr>
      <t>NNT</t>
    </r>
    <r>
      <rPr>
        <sz val="8"/>
        <rFont val="Calibri"/>
        <family val="2"/>
      </rPr>
      <t xml:space="preserve">: Número Necesario a Tratar para evitar un evento; </t>
    </r>
    <r>
      <rPr>
        <b/>
        <sz val="8"/>
        <rFont val="Calibri"/>
        <family val="2"/>
      </rPr>
      <t xml:space="preserve">tSLEv: </t>
    </r>
    <r>
      <rPr>
        <sz val="8"/>
        <rFont val="Calibri"/>
        <family val="2"/>
      </rPr>
      <t xml:space="preserve">tiempo medio de Supervivencia Libre de Evento; </t>
    </r>
    <r>
      <rPr>
        <b/>
        <sz val="8"/>
        <rFont val="Calibri"/>
        <family val="2"/>
      </rPr>
      <t>PtSLEv:</t>
    </r>
    <r>
      <rPr>
        <sz val="8"/>
        <rFont val="Calibri"/>
        <family val="2"/>
      </rPr>
      <t xml:space="preserve"> Prolongación del tiempo medio de Supervivencia Libre de Evento.</t>
    </r>
  </si>
  <si>
    <t>Hoja información al usuario (FACT BOX)</t>
  </si>
  <si>
    <t>Nº Eventos crudos (%)</t>
  </si>
  <si>
    <r>
      <t>Valor de</t>
    </r>
    <r>
      <rPr>
        <b/>
        <i/>
        <sz val="10"/>
        <rFont val="Calibri"/>
        <family val="2"/>
      </rPr>
      <t xml:space="preserve"> p</t>
    </r>
  </si>
  <si>
    <t>meses</t>
  </si>
  <si>
    <t>Medidas del efecto obtenidas por incidencias acumuladas</t>
  </si>
  <si>
    <t>Mortalidad por cualquier causa</t>
  </si>
  <si>
    <t>RAR (IC 95%)</t>
  </si>
  <si>
    <t>Los 3 tiempos biográficos (3tB)</t>
  </si>
  <si>
    <t>Los 3 destinos del NNT (3dNNT)</t>
  </si>
  <si>
    <t>Variables experienciales</t>
  </si>
  <si>
    <t>Mortalidad por causa cardiovascular</t>
  </si>
  <si>
    <t>EFECTOS ADVERSOS (EA) sin especificar los atribuidos a los tratamientos estudiados</t>
  </si>
  <si>
    <t>Los 3 destinos NNT</t>
  </si>
  <si>
    <t>Participantes -----&gt;</t>
  </si>
  <si>
    <t>Meses ---&gt;</t>
  </si>
  <si>
    <r>
      <rPr>
        <b/>
        <sz val="12"/>
        <color rgb="FF993300"/>
        <rFont val="Calibri"/>
        <family val="2"/>
        <scheme val="minor"/>
      </rPr>
      <t>Tabla nnt-2:</t>
    </r>
    <r>
      <rPr>
        <b/>
        <sz val="12"/>
        <rFont val="Calibri"/>
        <family val="2"/>
        <scheme val="minor"/>
      </rPr>
      <t xml:space="preserve"> EFECTOS ADVERSOS ACUMULADOS MÁS RELEVANTES INFORMADOS POR LOS INVESTIGADORES</t>
    </r>
  </si>
  <si>
    <t>Rabdomiolisis</t>
  </si>
  <si>
    <t>Miopatía</t>
  </si>
  <si>
    <t>NNT (IC 95%)</t>
  </si>
  <si>
    <t>Resto de tiempo medio sin éxito durante todo el tiempo de seguimiento</t>
  </si>
  <si>
    <r>
      <rPr>
        <b/>
        <sz val="12"/>
        <color rgb="FF993300"/>
        <rFont val="Calibri"/>
        <family val="2"/>
        <scheme val="minor"/>
      </rPr>
      <t xml:space="preserve">Tabla 3tB-1: </t>
    </r>
    <r>
      <rPr>
        <b/>
        <sz val="12"/>
        <rFont val="Calibri"/>
        <family val="2"/>
        <scheme val="minor"/>
      </rPr>
      <t>Los 3 tiempos biograficos de cada variable, asumiendo que la incidencia asciende linealmente a lo largo del tiempo.</t>
    </r>
  </si>
  <si>
    <t>Infarto agudo de miocardio no fatal</t>
  </si>
  <si>
    <t>Amarenco P, Bogousslavsky J, Callahan A 3rd, Goldstein LB on behalf or the Stroke Prevention by Aggressive Reduction in Cholesterol Levels (SPARCL) Investigators. High-dose atorvastatin after stroke or transient ischemic attack. Engl J Med. 2006 Aug 10;355(6):549-59.</t>
  </si>
  <si>
    <t>ECA SPARCL, dice que mediana de seguimiento 4,9 años</t>
  </si>
  <si>
    <r>
      <t>Atorvastatina 80; n</t>
    </r>
    <r>
      <rPr>
        <b/>
        <vertAlign val="subscript"/>
        <sz val="11"/>
        <rFont val="Calibri"/>
        <family val="2"/>
      </rPr>
      <t>i</t>
    </r>
    <r>
      <rPr>
        <b/>
        <sz val="11"/>
        <rFont val="Calibri"/>
        <family val="2"/>
      </rPr>
      <t xml:space="preserve"> = 2365</t>
    </r>
  </si>
  <si>
    <r>
      <t>Placebo; n</t>
    </r>
    <r>
      <rPr>
        <b/>
        <vertAlign val="subscript"/>
        <sz val="11"/>
        <rFont val="Calibri"/>
        <family val="2"/>
      </rPr>
      <t>c</t>
    </r>
    <r>
      <rPr>
        <b/>
        <sz val="11"/>
        <rFont val="Calibri"/>
        <family val="2"/>
      </rPr>
      <t xml:space="preserve"> = 2366</t>
    </r>
  </si>
  <si>
    <t>Nº de pacientes con evento en 60 meses por cada 100 tratados con:</t>
  </si>
  <si>
    <t>NNT (IC 95%) en 60 meses</t>
  </si>
  <si>
    <t>216/2365 (9,13%)</t>
  </si>
  <si>
    <t>211/2366 (8,92%)</t>
  </si>
  <si>
    <t>1,02 (0,85-1,23)</t>
  </si>
  <si>
    <t>-0,22% (-1,85% a 1,42%)</t>
  </si>
  <si>
    <t>-465 (70 a -54)</t>
  </si>
  <si>
    <t>4,44%</t>
  </si>
  <si>
    <t>78/2365 (3,3%)</t>
  </si>
  <si>
    <t>98/2366 (4,14%)</t>
  </si>
  <si>
    <t>0,8 (0,59-1,07)</t>
  </si>
  <si>
    <t>0,84% (-0,25% a 1,93%)</t>
  </si>
  <si>
    <t>118 (52 a -402)</t>
  </si>
  <si>
    <t>33,49%</t>
  </si>
  <si>
    <t>Ictus fatal</t>
  </si>
  <si>
    <t>Ictus no fatal</t>
  </si>
  <si>
    <t>24/2365 (1,01%)</t>
  </si>
  <si>
    <t>41/2366 (1,73%)</t>
  </si>
  <si>
    <t>0,59 (0,36-0,97)</t>
  </si>
  <si>
    <t>0,72% (0,02% a 1,39%)</t>
  </si>
  <si>
    <t>139 (72 a 4142)</t>
  </si>
  <si>
    <t>56,42%</t>
  </si>
  <si>
    <t>247/2365 (10,44%)</t>
  </si>
  <si>
    <t>280/2366 (11,83%)</t>
  </si>
  <si>
    <t>0,88 (0,75-1,04)</t>
  </si>
  <si>
    <t>1,39% (-0,41% a 3,19%)</t>
  </si>
  <si>
    <t>72 (31 a -246)</t>
  </si>
  <si>
    <t>32,99%</t>
  </si>
  <si>
    <t>Ataque isquémico transitorio</t>
  </si>
  <si>
    <t>153/2365 (6,47%)</t>
  </si>
  <si>
    <t>208/2366 (8,79%)</t>
  </si>
  <si>
    <t>0,74 (0,6-0,9)</t>
  </si>
  <si>
    <t>2,32% (0,8% a 3,83%)</t>
  </si>
  <si>
    <t>43 (26 a 125)</t>
  </si>
  <si>
    <t>43/2365 (1,82%)</t>
  </si>
  <si>
    <t>82/2366 (3,47%)</t>
  </si>
  <si>
    <t>0,52 (0,36-0,76)</t>
  </si>
  <si>
    <t>1,65% (0,71% a 2,56%)</t>
  </si>
  <si>
    <t>61 (39 a 141)</t>
  </si>
  <si>
    <t>94/2365 (3,97%)</t>
  </si>
  <si>
    <t>163/2366 (6,89%)</t>
  </si>
  <si>
    <t>0,58 (0,45-0,74)</t>
  </si>
  <si>
    <t>2,91% (1,61% a 4,2%)</t>
  </si>
  <si>
    <t>34 (24 a 62)</t>
  </si>
  <si>
    <t>99,31%</t>
  </si>
  <si>
    <t>Atorvastatina 80; ni = 2365</t>
  </si>
  <si>
    <t>Placebo; nc = 2366</t>
  </si>
  <si>
    <t>Atorvastatina 80</t>
  </si>
  <si>
    <t>Placebo</t>
  </si>
  <si>
    <t>Creatín kinasa ≥ 10 LSN en dos mediciones consecutivas</t>
  </si>
  <si>
    <t>51/2365 (2,16%)</t>
  </si>
  <si>
    <t>11/2366 (0,46%)</t>
  </si>
  <si>
    <t>4,64 (2,42-8,88)</t>
  </si>
  <si>
    <t>-1,69% (-2,32% a -0,99%)</t>
  </si>
  <si>
    <t>-59 (-101 a -43)</t>
  </si>
  <si>
    <t>99,92%</t>
  </si>
  <si>
    <t>2/2365 (0,08%)</t>
  </si>
  <si>
    <t>0/2366 (0%)</t>
  </si>
  <si>
    <t>-0,08% (-0,26% a 0,14%)</t>
  </si>
  <si>
    <t>-1183 (721 a -388)</t>
  </si>
  <si>
    <t>29,28%</t>
  </si>
  <si>
    <t>EA de cualquier tipo</t>
  </si>
  <si>
    <t>2199/2365 (92,98%)</t>
  </si>
  <si>
    <t>2156/2366 (91,12%)</t>
  </si>
  <si>
    <t>1,02 (1-1,04)</t>
  </si>
  <si>
    <t>-1,86% (-3,4% a -0,31%)</t>
  </si>
  <si>
    <t>-54 (-324 a -29)</t>
  </si>
  <si>
    <r>
      <rPr>
        <b/>
        <sz val="10"/>
        <color indexed="12"/>
        <rFont val="Calibri"/>
        <family val="2"/>
      </rPr>
      <t>(*)</t>
    </r>
    <r>
      <rPr>
        <sz val="10"/>
        <rFont val="Calibri"/>
        <family val="2"/>
      </rPr>
      <t xml:space="preserve"> La FDA define un evento adverso grave (serious adverse event, SAE) cuando el resultado del paciente es uno de los siguientes: 1) Muerte; 2) Amenaza de la vida; 3) Hospitalización (inicial o prolongada); 4) Discapacidad o cambios significativos, persistentes o permanentes, deterioro, daño o interrupción en la función o en la estructura del cuerpo del paciente, actividades físicas o calidad de vida; 5) Anomalía congénita; o 6) Requiere intervención para prevenir un empeoramiento o daño permanentes.</t>
    </r>
  </si>
  <si>
    <r>
      <t xml:space="preserve">Cualquier EA que amenaza la vida o el funcionamiento del paciente (“serious”) </t>
    </r>
    <r>
      <rPr>
        <sz val="10"/>
        <color indexed="12"/>
        <rFont val="Calibri"/>
        <family val="2"/>
      </rPr>
      <t>(*)</t>
    </r>
  </si>
  <si>
    <t>988/2365 (41,78%)</t>
  </si>
  <si>
    <t>975/2366 (41,21%)</t>
  </si>
  <si>
    <t>1,01 (0,95-1,08)</t>
  </si>
  <si>
    <t>-0,57% (-3,37% a 2,24%)</t>
  </si>
  <si>
    <t>-176 (45 a -30)</t>
  </si>
  <si>
    <t>5,89%</t>
  </si>
  <si>
    <t>EA que resulta en la discontinuación del tratamiento</t>
  </si>
  <si>
    <t>415/2365 (17,55%)</t>
  </si>
  <si>
    <t>342/2366 (14,45%)</t>
  </si>
  <si>
    <t>1,21 (1,06-1,38)</t>
  </si>
  <si>
    <t>-3,09% (-5,18% a -1%)</t>
  </si>
  <si>
    <t>-32 (-100 a -19)</t>
  </si>
  <si>
    <t>Mialgia</t>
  </si>
  <si>
    <t>129/2365 (5,45%)</t>
  </si>
  <si>
    <t>141/2366 (5,96%)</t>
  </si>
  <si>
    <t>0,92 (0,73-1,15)</t>
  </si>
  <si>
    <t>0,5% (-0,83% a 1,83%)</t>
  </si>
  <si>
    <t>198 (55 a -121)</t>
  </si>
  <si>
    <t>11,29%</t>
  </si>
  <si>
    <t>7/2365 (0,3%)</t>
  </si>
  <si>
    <t>7/2366 (0,3%)</t>
  </si>
  <si>
    <t>1 (0,35-2,85)</t>
  </si>
  <si>
    <t>0% (-0,35% a 0,35%)</t>
  </si>
  <si>
    <t>2,5%</t>
  </si>
  <si>
    <t>------</t>
  </si>
  <si>
    <t>3/2366 (0,13%)</t>
  </si>
  <si>
    <t>0,67 (0,11-3,99)</t>
  </si>
  <si>
    <t>0,04% (-0,21% a 0,28%)</t>
  </si>
  <si>
    <t>2368 (356 a -475)</t>
  </si>
  <si>
    <t>Variables de laboratorio</t>
  </si>
  <si>
    <r>
      <t>Atorvastatina 80; n</t>
    </r>
    <r>
      <rPr>
        <vertAlign val="subscript"/>
        <sz val="10"/>
        <rFont val="Calibri"/>
        <family val="2"/>
        <scheme val="minor"/>
      </rPr>
      <t>i</t>
    </r>
    <r>
      <rPr>
        <sz val="10"/>
        <rFont val="Calibri"/>
        <family val="2"/>
        <scheme val="minor"/>
      </rPr>
      <t xml:space="preserve"> = 2365</t>
    </r>
  </si>
  <si>
    <r>
      <t>Placebo; n</t>
    </r>
    <r>
      <rPr>
        <vertAlign val="subscript"/>
        <sz val="10"/>
        <rFont val="Calibri"/>
        <family val="2"/>
        <scheme val="minor"/>
      </rPr>
      <t>c</t>
    </r>
    <r>
      <rPr>
        <sz val="10"/>
        <rFont val="Calibri"/>
        <family val="2"/>
        <scheme val="minor"/>
      </rPr>
      <t xml:space="preserve"> = 2366</t>
    </r>
  </si>
  <si>
    <t>Gráfico g-1.1: Distribución de "Los 3 tiempos biográficos (3tB)" sobre "Los 3 destinos del NNT (3dNNT)" en "Ictus fatal", durante un seguimiento de 60 meses.</t>
  </si>
  <si>
    <t>Gráfico g-1.2: Distribución de "Los 3 tiempos biográficos (3tB)" sobre "Los 3 destinos del NNT (3dNNT)" en "Ataque isquémico transitorio", durante un seguimiento de 60 meses.</t>
  </si>
  <si>
    <t>Gráfico g-1.3: Distribución de "Los 3 tiempos biográficos (3tB)" sobre "Los 3 destinos del NNT (3dNNT)" en "Infarto de miocardio no fatal", durante un seguimiento de 60 meses.</t>
  </si>
  <si>
    <r>
      <rPr>
        <u/>
        <sz val="10"/>
        <rFont val="Calibri"/>
        <family val="2"/>
      </rP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 xml:space="preserve">IC: </t>
    </r>
    <r>
      <rPr>
        <sz val="10"/>
        <rFont val="Calibri"/>
        <family val="2"/>
      </rPr>
      <t xml:space="preserve">intervalo de confianza; </t>
    </r>
    <r>
      <rPr>
        <b/>
        <sz val="10"/>
        <rFont val="Calibri"/>
        <family val="2"/>
      </rPr>
      <t xml:space="preserve">NNT: </t>
    </r>
    <r>
      <rPr>
        <sz val="10"/>
        <rFont val="Calibri"/>
        <family val="2"/>
      </rPr>
      <t xml:space="preserve">número necesario a tratar para proteger a 1 paciente más que sin tratar; </t>
    </r>
    <r>
      <rPr>
        <b/>
        <sz val="10"/>
        <rFont val="Calibri"/>
        <family val="2"/>
      </rPr>
      <t xml:space="preserve">RAR: </t>
    </r>
    <r>
      <rPr>
        <sz val="10"/>
        <rFont val="Calibri"/>
        <family val="2"/>
      </rPr>
      <t xml:space="preserve">reducción absoluta del riesgo; </t>
    </r>
    <r>
      <rPr>
        <b/>
        <sz val="10"/>
        <rFont val="Calibri"/>
        <family val="2"/>
      </rPr>
      <t xml:space="preserve">RR: </t>
    </r>
    <r>
      <rPr>
        <sz val="10"/>
        <rFont val="Calibri"/>
        <family val="2"/>
      </rPr>
      <t>riesgo relativo.</t>
    </r>
  </si>
  <si>
    <t>Gráfico g-1.4: Distribución de "Los 3 tiempos biográficos (3tB)" sobre "Los 3 destinos del NNT (3dNNT)" en "Revascularización coronaria, carotídea y periférica", durante un seguimiento de 60 meses.</t>
  </si>
  <si>
    <t>Revascularización coronaria, carotídea o periférica</t>
  </si>
  <si>
    <t>Variables NO experienciales</t>
  </si>
  <si>
    <r>
      <t>1</t>
    </r>
    <r>
      <rPr>
        <vertAlign val="superscript"/>
        <sz val="10"/>
        <rFont val="Calibri"/>
        <family val="2"/>
        <scheme val="minor"/>
      </rPr>
      <t>er</t>
    </r>
    <r>
      <rPr>
        <sz val="10"/>
        <rFont val="Calibri"/>
        <family val="2"/>
        <scheme val="minor"/>
      </rPr>
      <t xml:space="preserve"> evento de </t>
    </r>
    <r>
      <rPr>
        <b/>
        <sz val="10"/>
        <rFont val="Calibri"/>
        <family val="2"/>
        <scheme val="minor"/>
      </rPr>
      <t>[Ictus no fatal o Ictus fatal]</t>
    </r>
    <r>
      <rPr>
        <sz val="10"/>
        <rFont val="Calibri"/>
        <family val="2"/>
        <scheme val="minor"/>
      </rPr>
      <t xml:space="preserve"> </t>
    </r>
    <r>
      <rPr>
        <sz val="10"/>
        <color rgb="FFC0C0C0"/>
        <rFont val="Calibri"/>
        <family val="2"/>
        <scheme val="minor"/>
      </rPr>
      <t>Ictusfatalnofatal</t>
    </r>
  </si>
  <si>
    <t>265/2365 (11,21%)</t>
  </si>
  <si>
    <t>311/2366 (13,14%)</t>
  </si>
  <si>
    <t>0,85 (0,73-0,99)</t>
  </si>
  <si>
    <t>1,94% (0,07% a 3,8%)</t>
  </si>
  <si>
    <t>52 (26 a 1360)</t>
  </si>
  <si>
    <t>53,18%</t>
  </si>
  <si>
    <t>ALT ó GPT y/o AST ó GOT ≥ 3 LSN en dos mediciones consecutivas</t>
  </si>
  <si>
    <r>
      <rPr>
        <u/>
        <sz val="10"/>
        <rFont val="Calibri"/>
        <family val="2"/>
      </rP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ALT ó GPT:</t>
    </r>
    <r>
      <rPr>
        <sz val="10"/>
        <rFont val="Calibri"/>
        <family val="2"/>
      </rPr>
      <t xml:space="preserve"> alanina aminotransferasa; </t>
    </r>
    <r>
      <rPr>
        <b/>
        <sz val="10"/>
        <rFont val="Calibri"/>
        <family val="2"/>
      </rPr>
      <t>AST ó GOT:</t>
    </r>
    <r>
      <rPr>
        <sz val="10"/>
        <rFont val="Calibri"/>
        <family val="2"/>
      </rPr>
      <t xml:space="preserve"> aspartato aminotransferasa; </t>
    </r>
    <r>
      <rPr>
        <b/>
        <sz val="10"/>
        <rFont val="Calibri"/>
        <family val="2"/>
      </rPr>
      <t>EA:</t>
    </r>
    <r>
      <rPr>
        <sz val="10"/>
        <rFont val="Calibri"/>
        <family val="2"/>
      </rPr>
      <t xml:space="preserve"> efecto/s adverso/s; </t>
    </r>
    <r>
      <rPr>
        <b/>
        <sz val="10"/>
        <rFont val="Calibri"/>
        <family val="2"/>
      </rPr>
      <t>IC 95%:</t>
    </r>
    <r>
      <rPr>
        <sz val="10"/>
        <rFont val="Calibri"/>
        <family val="2"/>
      </rPr>
      <t xml:space="preserve"> intervalo de confianza al 95%; </t>
    </r>
    <r>
      <rPr>
        <b/>
        <sz val="10"/>
        <rFont val="Calibri"/>
        <family val="2"/>
      </rPr>
      <t xml:space="preserve">LSN: </t>
    </r>
    <r>
      <rPr>
        <sz val="10"/>
        <rFont val="Calibri"/>
        <family val="2"/>
      </rPr>
      <t xml:space="preserve">límite superior al rango de referencia asumido como normalidad; </t>
    </r>
    <r>
      <rPr>
        <b/>
        <sz val="10"/>
        <rFont val="Calibri"/>
        <family val="2"/>
      </rPr>
      <t xml:space="preserve">NNT: </t>
    </r>
    <r>
      <rPr>
        <sz val="10"/>
        <rFont val="Calibri"/>
        <family val="2"/>
      </rPr>
      <t xml:space="preserve">número necesario a tratar con la intervención para evitar 1 evento más que con el control; </t>
    </r>
    <r>
      <rPr>
        <b/>
        <sz val="10"/>
        <rFont val="Calibri"/>
        <family val="2"/>
      </rPr>
      <t xml:space="preserve">RAR: </t>
    </r>
    <r>
      <rPr>
        <sz val="10"/>
        <rFont val="Calibri"/>
        <family val="2"/>
      </rPr>
      <t xml:space="preserve">reducción absoluta del riesgo; </t>
    </r>
    <r>
      <rPr>
        <b/>
        <sz val="10"/>
        <rFont val="Calibri"/>
        <family val="2"/>
      </rPr>
      <t>RR:</t>
    </r>
    <r>
      <rPr>
        <sz val="10"/>
        <rFont val="Calibri"/>
        <family val="2"/>
      </rPr>
      <t xml:space="preserve"> riesgo relativo.</t>
    </r>
  </si>
  <si>
    <r>
      <rPr>
        <b/>
        <sz val="14"/>
        <color indexed="60"/>
        <rFont val="Calibri"/>
        <family val="2"/>
      </rPr>
      <t xml:space="preserve">Tabla nnt-1: </t>
    </r>
    <r>
      <rPr>
        <b/>
        <sz val="14"/>
        <rFont val="Calibri"/>
        <family val="2"/>
      </rPr>
      <t>Pacientes de 63 años (DE 10) con ictus o ataque isquémico transitorio en los 6 meses previos, sin enfermedad coronaria.</t>
    </r>
  </si>
  <si>
    <t>Nuevo inicio de diabetes mellitus</t>
  </si>
  <si>
    <t>no informaron</t>
  </si>
  <si>
    <t>23/2366 (0,97%)</t>
  </si>
  <si>
    <t>0,3 (0,13-0,71)</t>
  </si>
  <si>
    <t>0,68% (0,17% a 1,13%)</t>
  </si>
  <si>
    <t>148 (89 a 588)</t>
  </si>
  <si>
    <t>83,38%</t>
  </si>
  <si>
    <t>17/2365 (0,72%)</t>
  </si>
  <si>
    <t>18/2366 (0,76%)</t>
  </si>
  <si>
    <t>0,94 (0,49-1,83)</t>
  </si>
  <si>
    <t>0,04% (-0,47% a 0,55%)</t>
  </si>
  <si>
    <t>2383 (180 a -211)</t>
  </si>
  <si>
    <t>3,66%</t>
  </si>
  <si>
    <t>55/2365 (2,33%)</t>
  </si>
  <si>
    <t>33/2366 (1,39%)</t>
  </si>
  <si>
    <t>1,67 (1,09-2,56)</t>
  </si>
  <si>
    <t>-0,93% (-1,7% a -0,13%)</t>
  </si>
  <si>
    <t>-107 (-746 a -59)</t>
  </si>
  <si>
    <t>65,89%</t>
  </si>
  <si>
    <t>210/2365 (8,88%)</t>
  </si>
  <si>
    <t>278/2366 (11,75%)</t>
  </si>
  <si>
    <t>0,76 (0,64-0,9)</t>
  </si>
  <si>
    <t>2,87% (1,13% a 4,6%)</t>
  </si>
  <si>
    <t>35 (22 a 88)</t>
  </si>
  <si>
    <t>90,07%</t>
  </si>
  <si>
    <r>
      <t xml:space="preserve">[Ictus no fatal o Ictus fatal] isquémico </t>
    </r>
    <r>
      <rPr>
        <i/>
        <sz val="10"/>
        <color rgb="FF0000FF"/>
        <rFont val="Calibri"/>
        <family val="2"/>
        <scheme val="minor"/>
      </rPr>
      <t>(*)</t>
    </r>
  </si>
  <si>
    <r>
      <t xml:space="preserve">[Ictus no fatal o Ictus fatal] hemorrágico </t>
    </r>
    <r>
      <rPr>
        <i/>
        <sz val="10"/>
        <color rgb="FF0000FF"/>
        <rFont val="Calibri"/>
        <family val="2"/>
        <scheme val="minor"/>
      </rPr>
      <t>(*)</t>
    </r>
  </si>
  <si>
    <r>
      <t xml:space="preserve">Ictus fatal isquémico </t>
    </r>
    <r>
      <rPr>
        <i/>
        <sz val="10"/>
        <color rgb="FF0000FF"/>
        <rFont val="Calibri"/>
        <family val="2"/>
        <scheme val="minor"/>
      </rPr>
      <t>(*)</t>
    </r>
  </si>
  <si>
    <r>
      <t xml:space="preserve">Ictus fatal hemorrágico </t>
    </r>
    <r>
      <rPr>
        <i/>
        <sz val="10"/>
        <color rgb="FF0000FF"/>
        <rFont val="Calibri"/>
        <family val="2"/>
        <scheme val="minor"/>
      </rPr>
      <t>(*)</t>
    </r>
  </si>
  <si>
    <r>
      <rPr>
        <sz val="9"/>
        <color rgb="FF0000FF"/>
        <rFont val="Calibri"/>
        <family val="2"/>
        <scheme val="minor"/>
      </rPr>
      <t>(*)</t>
    </r>
    <r>
      <rPr>
        <sz val="9"/>
        <rFont val="Calibri"/>
        <family val="2"/>
        <scheme val="minor"/>
      </rPr>
      <t xml:space="preserve"> Datos extraídos de un análisis post hoc:  Goldstein LB, Amarenco P, Szarek M; SPARCL Investigators. Hemorrhagic stroke in the Stroke Prevention by Aggressive Reduction in Cholesterol Levels study. Neurology. 2008 Jun 10;70(24 Pt 2):2364-70.</t>
    </r>
  </si>
  <si>
    <t>20060806-ECA SPARCL 60m, ACV ó AIT [Ato80 vs Pl], =Mort -MACE. Amarenco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</si>
</sst>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\ _€_-;\-* #,##0.00\ _€_-;_-* &quot;-&quot;??\ _€_-;_-@_-"/>
    <numFmt numFmtId="164" formatCode="0.0"/>
    <numFmt numFmtId="165" formatCode="_-* #,##0.0\ _€_-;\-* #,##0.0\ _€_-;_-* &quot;-&quot;??\ _€_-;_-@_-"/>
    <numFmt numFmtId="166" formatCode="0.0%"/>
    <numFmt numFmtId="167" formatCode="_-* #,##0\ _€_-;\-* #,##0\ _€_-;_-* &quot;-&quot;??\ _€_-;_-@_-"/>
    <numFmt numFmtId="168" formatCode="_-* #,##0.000\ _€_-;\-* #,##0.000\ _€_-;_-* &quot;-&quot;??\ _€_-;_-@_-"/>
    <numFmt numFmtId="169" formatCode="#,##0.00_ ;\-#,##0.00\ "/>
    <numFmt numFmtId="170" formatCode="_-* #,##0.0000\ _€_-;\-* #,##0.0000\ _€_-;_-* &quot;-&quot;??\ _€_-;_-@_-"/>
    <numFmt numFmtId="171" formatCode="_-* #,##0.00000\ _€_-;\-* #,##0.00000\ _€_-;_-* &quot;-&quot;??\ _€_-;_-@_-"/>
    <numFmt numFmtId="172" formatCode="_-* #,##0.0\ _€_-;\-* #,##0.0\ _€_-;_-* &quot;-&quot;?\ _€_-;_-@_-"/>
    <numFmt numFmtId="173" formatCode="_-* #,##0.000000\ _€_-;\-* #,##0.000000\ _€_-;_-* &quot;-&quot;??\ _€_-;_-@_-"/>
    <numFmt numFmtId="174" formatCode="_-* #,##0.0000\ _€_-;\-* #,##0.0000\ _€_-;_-* &quot;-&quot;?\ _€_-;_-@_-"/>
    <numFmt numFmtId="175" formatCode="0.000"/>
    <numFmt numFmtId="176" formatCode="_-* #,##0.000\ _€_-;\-* #,##0.000\ _€_-;_-* &quot;-&quot;???\ _€_-;_-@_-"/>
    <numFmt numFmtId="177" formatCode="0.0000"/>
  </numFmts>
  <fonts count="10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8000"/>
      <name val="Calibri"/>
      <family val="2"/>
      <scheme val="minor"/>
    </font>
    <font>
      <i/>
      <sz val="10"/>
      <color rgb="FF008000"/>
      <name val="Calibri"/>
      <family val="2"/>
      <scheme val="minor"/>
    </font>
    <font>
      <sz val="10"/>
      <color rgb="FF669900"/>
      <name val="Calibri"/>
      <family val="2"/>
      <scheme val="minor"/>
    </font>
    <font>
      <i/>
      <sz val="10"/>
      <color rgb="FF6699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9900"/>
      <name val="Calibri"/>
      <family val="2"/>
      <scheme val="minor"/>
    </font>
    <font>
      <i/>
      <sz val="10"/>
      <color rgb="FF0099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8000"/>
      <name val="Calibri"/>
      <family val="2"/>
      <scheme val="minor"/>
    </font>
    <font>
      <sz val="11"/>
      <color rgb="FF669900"/>
      <name val="Calibri"/>
      <family val="2"/>
      <scheme val="minor"/>
    </font>
    <font>
      <b/>
      <sz val="10"/>
      <color indexed="5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5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  <scheme val="minor"/>
    </font>
    <font>
      <b/>
      <sz val="10"/>
      <color indexed="57"/>
      <name val="Calibri"/>
      <family val="2"/>
      <scheme val="minor"/>
    </font>
    <font>
      <b/>
      <vertAlign val="subscript"/>
      <sz val="10"/>
      <name val="Calibri"/>
      <family val="2"/>
    </font>
    <font>
      <sz val="10"/>
      <color indexed="2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  <scheme val="minor"/>
    </font>
    <font>
      <b/>
      <i/>
      <sz val="9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b/>
      <sz val="10"/>
      <color indexed="14"/>
      <name val="Calibri"/>
      <family val="2"/>
      <scheme val="minor"/>
    </font>
    <font>
      <sz val="10"/>
      <color indexed="14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indexed="61"/>
      <name val="Calibri"/>
      <family val="2"/>
      <scheme val="minor"/>
    </font>
    <font>
      <sz val="9"/>
      <name val="Calibri"/>
      <family val="2"/>
      <scheme val="minor"/>
    </font>
    <font>
      <sz val="6"/>
      <color rgb="FF669900"/>
      <name val="Calibri"/>
      <family val="2"/>
      <scheme val="minor"/>
    </font>
    <font>
      <sz val="6"/>
      <color rgb="FF009900"/>
      <name val="Calibri"/>
      <family val="2"/>
      <scheme val="minor"/>
    </font>
    <font>
      <sz val="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name val="Calibri"/>
      <family val="2"/>
    </font>
    <font>
      <sz val="10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6699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6"/>
      <color rgb="FF669900"/>
      <name val="Calibri"/>
      <family val="2"/>
      <scheme val="minor"/>
    </font>
    <font>
      <b/>
      <sz val="16"/>
      <color rgb="FF00800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rgb="FF0099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00FF"/>
      <name val="Calibri"/>
      <family val="2"/>
    </font>
    <font>
      <sz val="8"/>
      <color indexed="12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sz val="10"/>
      <color rgb="FF669900"/>
      <name val="Calibri"/>
      <family val="2"/>
      <scheme val="minor"/>
    </font>
    <font>
      <b/>
      <sz val="10"/>
      <color rgb="FF008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name val="Calibri"/>
      <family val="2"/>
    </font>
    <font>
      <sz val="8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color indexed="63"/>
      <name val="Calibri"/>
      <family val="2"/>
      <scheme val="minor"/>
    </font>
    <font>
      <sz val="10"/>
      <color rgb="FF99CCFF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9933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1"/>
      <color rgb="FF00800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vertAlign val="subscript"/>
      <sz val="11"/>
      <name val="Calibri"/>
      <family val="2"/>
    </font>
    <font>
      <b/>
      <sz val="16"/>
      <color theme="1"/>
      <name val="Calibri"/>
      <family val="2"/>
      <scheme val="minor"/>
    </font>
    <font>
      <b/>
      <sz val="14"/>
      <name val="Calibri"/>
      <family val="2"/>
    </font>
    <font>
      <b/>
      <sz val="14"/>
      <color indexed="60"/>
      <name val="Calibri"/>
      <family val="2"/>
    </font>
    <font>
      <sz val="10"/>
      <color theme="0" tint="-0.1499984740745262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vertAlign val="subscript"/>
      <sz val="10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009900"/>
      <name val="Calibri"/>
      <family val="2"/>
      <scheme val="minor"/>
    </font>
    <font>
      <sz val="11"/>
      <color rgb="FFFF990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2"/>
      <color rgb="FF6699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C0C0C0"/>
      <name val="Calibri"/>
      <family val="2"/>
      <scheme val="minor"/>
    </font>
    <font>
      <b/>
      <i/>
      <sz val="12"/>
      <color rgb="FF0099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12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i/>
      <sz val="12"/>
      <color rgb="FF00800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Border="1"/>
    <xf numFmtId="2" fontId="3" fillId="0" borderId="7" xfId="0" applyNumberFormat="1" applyFont="1" applyBorder="1"/>
    <xf numFmtId="0" fontId="2" fillId="0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66" fontId="7" fillId="0" borderId="0" xfId="2" applyNumberFormat="1" applyFont="1" applyAlignment="1">
      <alignment horizontal="center"/>
    </xf>
    <xf numFmtId="0" fontId="8" fillId="0" borderId="0" xfId="0" applyFont="1" applyAlignment="1">
      <alignment horizontal="right"/>
    </xf>
    <xf numFmtId="166" fontId="9" fillId="0" borderId="0" xfId="2" applyNumberFormat="1" applyFont="1" applyAlignment="1">
      <alignment horizontal="center"/>
    </xf>
    <xf numFmtId="0" fontId="10" fillId="0" borderId="0" xfId="0" applyFont="1" applyAlignment="1">
      <alignment horizontal="right"/>
    </xf>
    <xf numFmtId="166" fontId="11" fillId="0" borderId="0" xfId="2" applyNumberFormat="1" applyFont="1" applyAlignment="1">
      <alignment horizontal="center"/>
    </xf>
    <xf numFmtId="3" fontId="3" fillId="0" borderId="7" xfId="0" applyNumberFormat="1" applyFont="1" applyBorder="1"/>
    <xf numFmtId="1" fontId="10" fillId="0" borderId="0" xfId="0" applyNumberFormat="1" applyFont="1"/>
    <xf numFmtId="0" fontId="13" fillId="0" borderId="0" xfId="0" applyFont="1" applyAlignment="1">
      <alignment vertical="center"/>
    </xf>
    <xf numFmtId="0" fontId="0" fillId="0" borderId="0" xfId="0" applyBorder="1"/>
    <xf numFmtId="166" fontId="13" fillId="0" borderId="0" xfId="2" applyNumberFormat="1" applyFont="1" applyAlignment="1">
      <alignment horizontal="left" vertical="center"/>
    </xf>
    <xf numFmtId="0" fontId="13" fillId="0" borderId="0" xfId="0" applyFont="1"/>
    <xf numFmtId="1" fontId="13" fillId="3" borderId="0" xfId="0" applyNumberFormat="1" applyFont="1" applyFill="1" applyAlignment="1">
      <alignment horizontal="center" vertical="center"/>
    </xf>
    <xf numFmtId="9" fontId="11" fillId="0" borderId="0" xfId="2" applyFont="1" applyFill="1" applyBorder="1" applyAlignment="1">
      <alignment horizontal="center" vertical="center"/>
    </xf>
    <xf numFmtId="9" fontId="15" fillId="0" borderId="0" xfId="2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top" wrapText="1"/>
    </xf>
    <xf numFmtId="0" fontId="13" fillId="0" borderId="7" xfId="0" applyFont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vertical="center"/>
    </xf>
    <xf numFmtId="166" fontId="7" fillId="0" borderId="0" xfId="2" applyNumberFormat="1" applyFont="1" applyAlignment="1">
      <alignment horizontal="center" vertical="center"/>
    </xf>
    <xf numFmtId="166" fontId="7" fillId="0" borderId="0" xfId="0" applyNumberFormat="1" applyFont="1" applyAlignment="1">
      <alignment vertical="center" wrapText="1"/>
    </xf>
    <xf numFmtId="2" fontId="14" fillId="2" borderId="7" xfId="0" applyNumberFormat="1" applyFont="1" applyFill="1" applyBorder="1" applyAlignment="1">
      <alignment vertical="center"/>
    </xf>
    <xf numFmtId="166" fontId="11" fillId="0" borderId="0" xfId="2" applyNumberFormat="1" applyFont="1" applyFill="1" applyBorder="1" applyAlignment="1">
      <alignment vertical="center"/>
    </xf>
    <xf numFmtId="2" fontId="10" fillId="2" borderId="7" xfId="0" applyNumberFormat="1" applyFont="1" applyFill="1" applyBorder="1" applyAlignment="1">
      <alignment vertical="center"/>
    </xf>
    <xf numFmtId="1" fontId="10" fillId="0" borderId="7" xfId="0" applyNumberFormat="1" applyFont="1" applyBorder="1" applyAlignment="1">
      <alignment vertical="center"/>
    </xf>
    <xf numFmtId="2" fontId="3" fillId="2" borderId="10" xfId="0" applyNumberFormat="1" applyFont="1" applyFill="1" applyBorder="1" applyAlignment="1">
      <alignment vertical="center"/>
    </xf>
    <xf numFmtId="1" fontId="16" fillId="0" borderId="7" xfId="0" applyNumberFormat="1" applyFont="1" applyBorder="1" applyAlignment="1">
      <alignment horizontal="right" vertical="center"/>
    </xf>
    <xf numFmtId="9" fontId="13" fillId="0" borderId="0" xfId="0" applyNumberFormat="1" applyFont="1"/>
    <xf numFmtId="0" fontId="13" fillId="0" borderId="0" xfId="0" applyFont="1" applyAlignment="1">
      <alignment horizontal="left" vertical="top"/>
    </xf>
    <xf numFmtId="164" fontId="10" fillId="3" borderId="7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top" wrapText="1"/>
    </xf>
    <xf numFmtId="0" fontId="12" fillId="0" borderId="0" xfId="0" applyFont="1"/>
    <xf numFmtId="0" fontId="0" fillId="0" borderId="0" xfId="0" applyFill="1" applyBorder="1"/>
    <xf numFmtId="0" fontId="0" fillId="5" borderId="7" xfId="0" applyFill="1" applyBorder="1"/>
    <xf numFmtId="0" fontId="18" fillId="0" borderId="0" xfId="0" applyFont="1" applyAlignment="1">
      <alignment horizontal="center" vertical="center"/>
    </xf>
    <xf numFmtId="0" fontId="0" fillId="0" borderId="0" xfId="0" applyFill="1"/>
    <xf numFmtId="167" fontId="3" fillId="0" borderId="0" xfId="1" applyNumberFormat="1" applyFont="1" applyFill="1" applyBorder="1" applyAlignment="1"/>
    <xf numFmtId="167" fontId="19" fillId="0" borderId="0" xfId="1" applyNumberFormat="1" applyFont="1" applyFill="1" applyBorder="1" applyAlignment="1"/>
    <xf numFmtId="167" fontId="20" fillId="0" borderId="0" xfId="0" applyNumberFormat="1" applyFont="1" applyFill="1" applyBorder="1" applyAlignment="1">
      <alignment horizontal="left"/>
    </xf>
    <xf numFmtId="2" fontId="2" fillId="0" borderId="0" xfId="0" applyNumberFormat="1" applyFont="1" applyBorder="1"/>
    <xf numFmtId="10" fontId="21" fillId="0" borderId="0" xfId="2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4" fillId="0" borderId="0" xfId="0" applyFont="1" applyBorder="1" applyAlignment="1">
      <alignment vertical="distributed"/>
    </xf>
    <xf numFmtId="0" fontId="2" fillId="0" borderId="7" xfId="0" applyFont="1" applyBorder="1" applyAlignment="1">
      <alignment horizontal="center" vertical="center"/>
    </xf>
    <xf numFmtId="9" fontId="2" fillId="2" borderId="7" xfId="0" applyNumberFormat="1" applyFont="1" applyFill="1" applyBorder="1" applyAlignment="1">
      <alignment horizontal="center" vertical="center"/>
    </xf>
    <xf numFmtId="10" fontId="2" fillId="0" borderId="0" xfId="2" applyNumberFormat="1" applyFont="1" applyBorder="1" applyAlignment="1">
      <alignment horizontal="center"/>
    </xf>
    <xf numFmtId="0" fontId="23" fillId="0" borderId="0" xfId="0" applyFont="1" applyFill="1" applyBorder="1" applyAlignment="1">
      <alignment vertical="distributed"/>
    </xf>
    <xf numFmtId="0" fontId="2" fillId="0" borderId="0" xfId="0" applyFont="1" applyFill="1" applyAlignment="1">
      <alignment horizontal="center"/>
    </xf>
    <xf numFmtId="10" fontId="2" fillId="0" borderId="0" xfId="0" applyNumberFormat="1" applyFont="1" applyFill="1" applyAlignment="1">
      <alignment horizontal="center"/>
    </xf>
    <xf numFmtId="0" fontId="21" fillId="0" borderId="0" xfId="0" applyFont="1" applyBorder="1" applyAlignment="1">
      <alignment vertical="center" wrapText="1"/>
    </xf>
    <xf numFmtId="18" fontId="2" fillId="0" borderId="0" xfId="1" applyNumberFormat="1" applyFont="1" applyBorder="1" applyAlignment="1">
      <alignment horizontal="center"/>
    </xf>
    <xf numFmtId="9" fontId="2" fillId="0" borderId="0" xfId="0" applyNumberFormat="1" applyFont="1" applyBorder="1"/>
    <xf numFmtId="43" fontId="2" fillId="0" borderId="0" xfId="0" applyNumberFormat="1" applyFont="1"/>
    <xf numFmtId="43" fontId="2" fillId="0" borderId="0" xfId="1" applyFont="1" applyFill="1"/>
    <xf numFmtId="0" fontId="27" fillId="0" borderId="0" xfId="0" applyFont="1" applyFill="1"/>
    <xf numFmtId="168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3" fontId="2" fillId="0" borderId="0" xfId="1" applyFont="1" applyFill="1" applyBorder="1" applyAlignment="1">
      <alignment horizontal="center" vertical="center" wrapText="1"/>
    </xf>
    <xf numFmtId="10" fontId="2" fillId="0" borderId="0" xfId="2" applyNumberFormat="1" applyFont="1" applyFill="1"/>
    <xf numFmtId="10" fontId="2" fillId="0" borderId="0" xfId="0" applyNumberFormat="1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3" fontId="2" fillId="0" borderId="0" xfId="1" applyFont="1" applyFill="1" applyBorder="1"/>
    <xf numFmtId="4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2" applyNumberFormat="1" applyFont="1" applyFill="1" applyBorder="1" applyAlignment="1">
      <alignment horizontal="center"/>
    </xf>
    <xf numFmtId="10" fontId="2" fillId="0" borderId="0" xfId="2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3" fontId="3" fillId="0" borderId="15" xfId="1" applyFont="1" applyFill="1" applyBorder="1" applyAlignment="1">
      <alignment horizontal="center" vertical="center" wrapText="1"/>
    </xf>
    <xf numFmtId="43" fontId="3" fillId="0" borderId="15" xfId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169" fontId="2" fillId="0" borderId="7" xfId="1" applyNumberFormat="1" applyFont="1" applyFill="1" applyBorder="1" applyAlignment="1">
      <alignment horizontal="center" vertical="center"/>
    </xf>
    <xf numFmtId="2" fontId="2" fillId="0" borderId="7" xfId="1" applyNumberFormat="1" applyFont="1" applyFill="1" applyBorder="1" applyAlignment="1">
      <alignment horizontal="center" vertical="center" wrapText="1"/>
    </xf>
    <xf numFmtId="2" fontId="2" fillId="0" borderId="11" xfId="1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166" fontId="3" fillId="0" borderId="7" xfId="2" applyNumberFormat="1" applyFont="1" applyFill="1" applyBorder="1" applyAlignment="1">
      <alignment horizontal="center" vertical="center" wrapText="1"/>
    </xf>
    <xf numFmtId="43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43" fontId="29" fillId="0" borderId="0" xfId="1" applyFont="1" applyFill="1" applyBorder="1"/>
    <xf numFmtId="168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43" fontId="29" fillId="0" borderId="0" xfId="1" applyFont="1" applyFill="1" applyAlignment="1">
      <alignment horizontal="right"/>
    </xf>
    <xf numFmtId="0" fontId="29" fillId="0" borderId="0" xfId="0" applyFont="1" applyFill="1" applyBorder="1"/>
    <xf numFmtId="43" fontId="2" fillId="0" borderId="0" xfId="0" applyNumberFormat="1" applyFont="1" applyFill="1"/>
    <xf numFmtId="170" fontId="2" fillId="0" borderId="0" xfId="0" applyNumberFormat="1" applyFont="1" applyFill="1" applyBorder="1" applyAlignment="1">
      <alignment horizontal="center" vertical="center" wrapText="1"/>
    </xf>
    <xf numFmtId="171" fontId="2" fillId="0" borderId="0" xfId="1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2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43" fontId="2" fillId="0" borderId="0" xfId="1" applyFont="1" applyBorder="1" applyAlignment="1">
      <alignment horizontal="center"/>
    </xf>
    <xf numFmtId="173" fontId="2" fillId="0" borderId="0" xfId="1" applyNumberFormat="1" applyFont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0" fontId="3" fillId="0" borderId="0" xfId="2" applyNumberFormat="1" applyFont="1" applyFill="1" applyBorder="1" applyAlignment="1"/>
    <xf numFmtId="173" fontId="2" fillId="0" borderId="0" xfId="1" applyNumberFormat="1" applyFont="1" applyFill="1" applyBorder="1" applyAlignment="1">
      <alignment horizontal="center"/>
    </xf>
    <xf numFmtId="43" fontId="3" fillId="0" borderId="0" xfId="1" applyFont="1" applyFill="1" applyBorder="1" applyAlignment="1"/>
    <xf numFmtId="0" fontId="2" fillId="0" borderId="0" xfId="0" applyFont="1" applyFill="1" applyBorder="1" applyAlignment="1">
      <alignment horizontal="left"/>
    </xf>
    <xf numFmtId="0" fontId="30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43" fontId="33" fillId="0" borderId="2" xfId="1" applyFont="1" applyFill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173" fontId="2" fillId="0" borderId="2" xfId="1" applyNumberFormat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43" fontId="3" fillId="0" borderId="2" xfId="1" applyFont="1" applyFill="1" applyBorder="1" applyAlignment="1"/>
    <xf numFmtId="43" fontId="3" fillId="0" borderId="3" xfId="1" applyFont="1" applyFill="1" applyBorder="1" applyAlignment="1"/>
    <xf numFmtId="0" fontId="2" fillId="0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0" fontId="3" fillId="8" borderId="7" xfId="2" applyNumberFormat="1" applyFont="1" applyFill="1" applyBorder="1" applyAlignment="1"/>
    <xf numFmtId="1" fontId="2" fillId="0" borderId="23" xfId="0" applyNumberFormat="1" applyFont="1" applyFill="1" applyBorder="1" applyAlignment="1">
      <alignment horizontal="center" vertical="center" wrapText="1"/>
    </xf>
    <xf numFmtId="43" fontId="3" fillId="0" borderId="22" xfId="1" applyFont="1" applyFill="1" applyBorder="1" applyAlignment="1"/>
    <xf numFmtId="10" fontId="2" fillId="0" borderId="23" xfId="2" applyNumberFormat="1" applyFont="1" applyFill="1" applyBorder="1"/>
    <xf numFmtId="0" fontId="2" fillId="0" borderId="22" xfId="0" applyFont="1" applyBorder="1"/>
    <xf numFmtId="2" fontId="2" fillId="0" borderId="23" xfId="1" applyNumberFormat="1" applyFont="1" applyFill="1" applyBorder="1" applyAlignment="1">
      <alignment horizontal="center" vertical="center" wrapText="1"/>
    </xf>
    <xf numFmtId="0" fontId="2" fillId="0" borderId="22" xfId="0" applyFont="1" applyFill="1" applyBorder="1"/>
    <xf numFmtId="174" fontId="2" fillId="0" borderId="23" xfId="0" applyNumberFormat="1" applyFont="1" applyBorder="1"/>
    <xf numFmtId="166" fontId="2" fillId="0" borderId="23" xfId="2" applyNumberFormat="1" applyFont="1" applyFill="1" applyBorder="1" applyAlignment="1">
      <alignment horizontal="center" vertical="center" wrapText="1"/>
    </xf>
    <xf numFmtId="168" fontId="3" fillId="0" borderId="23" xfId="1" applyNumberFormat="1" applyFont="1" applyFill="1" applyBorder="1"/>
    <xf numFmtId="0" fontId="3" fillId="0" borderId="0" xfId="0" applyFont="1" applyAlignment="1">
      <alignment horizontal="left"/>
    </xf>
    <xf numFmtId="165" fontId="2" fillId="0" borderId="0" xfId="0" applyNumberFormat="1" applyFont="1" applyFill="1" applyBorder="1"/>
    <xf numFmtId="175" fontId="2" fillId="0" borderId="23" xfId="0" applyNumberFormat="1" applyFont="1" applyFill="1" applyBorder="1" applyAlignment="1">
      <alignment horizontal="center" vertical="center" wrapText="1"/>
    </xf>
    <xf numFmtId="170" fontId="2" fillId="9" borderId="23" xfId="1" applyNumberFormat="1" applyFont="1" applyFill="1" applyBorder="1"/>
    <xf numFmtId="0" fontId="3" fillId="0" borderId="0" xfId="0" applyFont="1" applyBorder="1"/>
    <xf numFmtId="166" fontId="2" fillId="0" borderId="0" xfId="2" applyNumberFormat="1" applyFont="1" applyAlignment="1">
      <alignment horizontal="center" vertical="center" wrapText="1"/>
    </xf>
    <xf numFmtId="10" fontId="2" fillId="3" borderId="23" xfId="2" applyNumberFormat="1" applyFont="1" applyFill="1" applyBorder="1" applyAlignment="1">
      <alignment horizontal="center" vertical="center" wrapText="1"/>
    </xf>
    <xf numFmtId="173" fontId="2" fillId="0" borderId="0" xfId="0" applyNumberFormat="1" applyFont="1" applyBorder="1"/>
    <xf numFmtId="10" fontId="37" fillId="0" borderId="23" xfId="0" applyNumberFormat="1" applyFont="1" applyBorder="1"/>
    <xf numFmtId="0" fontId="38" fillId="0" borderId="0" xfId="0" applyFont="1" applyBorder="1"/>
    <xf numFmtId="49" fontId="4" fillId="0" borderId="0" xfId="0" applyNumberFormat="1" applyFont="1"/>
    <xf numFmtId="10" fontId="2" fillId="9" borderId="7" xfId="2" applyNumberFormat="1" applyFont="1" applyFill="1" applyBorder="1" applyAlignment="1">
      <alignment horizontal="center"/>
    </xf>
    <xf numFmtId="10" fontId="2" fillId="10" borderId="7" xfId="2" applyNumberFormat="1" applyFont="1" applyFill="1" applyBorder="1" applyAlignment="1">
      <alignment horizontal="center"/>
    </xf>
    <xf numFmtId="10" fontId="2" fillId="11" borderId="7" xfId="2" applyNumberFormat="1" applyFont="1" applyFill="1" applyBorder="1" applyAlignment="1">
      <alignment horizontal="center"/>
    </xf>
    <xf numFmtId="10" fontId="2" fillId="0" borderId="4" xfId="2" applyNumberFormat="1" applyFont="1" applyBorder="1" applyAlignment="1">
      <alignment horizontal="center" vertical="center" wrapText="1"/>
    </xf>
    <xf numFmtId="0" fontId="38" fillId="0" borderId="5" xfId="0" applyFont="1" applyBorder="1"/>
    <xf numFmtId="0" fontId="2" fillId="0" borderId="5" xfId="0" applyFont="1" applyBorder="1"/>
    <xf numFmtId="176" fontId="2" fillId="0" borderId="5" xfId="0" applyNumberFormat="1" applyFont="1" applyBorder="1"/>
    <xf numFmtId="0" fontId="2" fillId="0" borderId="6" xfId="0" applyFont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10" fontId="2" fillId="0" borderId="0" xfId="0" applyNumberFormat="1" applyFont="1"/>
    <xf numFmtId="1" fontId="2" fillId="9" borderId="7" xfId="0" applyNumberFormat="1" applyFont="1" applyFill="1" applyBorder="1" applyAlignment="1">
      <alignment horizontal="center"/>
    </xf>
    <xf numFmtId="1" fontId="2" fillId="10" borderId="7" xfId="0" applyNumberFormat="1" applyFont="1" applyFill="1" applyBorder="1" applyAlignment="1">
      <alignment horizontal="center"/>
    </xf>
    <xf numFmtId="1" fontId="2" fillId="11" borderId="7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2" xfId="0" applyFont="1" applyFill="1" applyBorder="1" applyAlignment="1">
      <alignment horizontal="right"/>
    </xf>
    <xf numFmtId="177" fontId="2" fillId="0" borderId="2" xfId="1" applyNumberFormat="1" applyFont="1" applyBorder="1" applyAlignment="1">
      <alignment horizontal="center" vertical="center"/>
    </xf>
    <xf numFmtId="2" fontId="2" fillId="0" borderId="2" xfId="0" applyNumberFormat="1" applyFont="1" applyBorder="1"/>
    <xf numFmtId="10" fontId="22" fillId="0" borderId="0" xfId="2" applyNumberFormat="1" applyFont="1" applyFill="1" applyBorder="1" applyAlignment="1">
      <alignment horizontal="right"/>
    </xf>
    <xf numFmtId="1" fontId="40" fillId="0" borderId="0" xfId="0" applyNumberFormat="1" applyFont="1" applyFill="1" applyBorder="1" applyAlignment="1">
      <alignment horizontal="center"/>
    </xf>
    <xf numFmtId="43" fontId="3" fillId="0" borderId="23" xfId="1" applyFont="1" applyFill="1" applyBorder="1" applyAlignment="1">
      <alignment horizontal="center" vertical="center" wrapText="1"/>
    </xf>
    <xf numFmtId="0" fontId="26" fillId="0" borderId="0" xfId="0" applyFont="1" applyFill="1" applyBorder="1"/>
    <xf numFmtId="43" fontId="2" fillId="0" borderId="0" xfId="1" applyFont="1" applyFill="1" applyBorder="1" applyAlignment="1"/>
    <xf numFmtId="10" fontId="22" fillId="0" borderId="0" xfId="2" applyNumberFormat="1" applyFont="1" applyFill="1" applyBorder="1" applyAlignment="1">
      <alignment horizontal="center"/>
    </xf>
    <xf numFmtId="1" fontId="39" fillId="12" borderId="0" xfId="0" applyNumberFormat="1" applyFont="1" applyFill="1" applyBorder="1" applyAlignment="1">
      <alignment horizontal="center" vertical="distributed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167" fontId="22" fillId="0" borderId="0" xfId="1" applyNumberFormat="1" applyFont="1" applyFill="1" applyBorder="1" applyAlignment="1">
      <alignment horizontal="center"/>
    </xf>
    <xf numFmtId="1" fontId="39" fillId="13" borderId="0" xfId="0" applyNumberFormat="1" applyFont="1" applyFill="1" applyBorder="1" applyAlignment="1">
      <alignment horizontal="center" vertical="distributed"/>
    </xf>
    <xf numFmtId="43" fontId="2" fillId="0" borderId="0" xfId="0" applyNumberFormat="1" applyFont="1" applyFill="1" applyBorder="1" applyAlignment="1">
      <alignment horizontal="left" vertical="center"/>
    </xf>
    <xf numFmtId="168" fontId="2" fillId="0" borderId="0" xfId="0" applyNumberFormat="1" applyFont="1" applyFill="1" applyBorder="1"/>
    <xf numFmtId="43" fontId="2" fillId="0" borderId="0" xfId="0" applyNumberFormat="1" applyFont="1" applyFill="1" applyBorder="1"/>
    <xf numFmtId="1" fontId="39" fillId="14" borderId="0" xfId="0" applyNumberFormat="1" applyFont="1" applyFill="1" applyBorder="1" applyAlignment="1">
      <alignment horizontal="center" vertical="distributed"/>
    </xf>
    <xf numFmtId="49" fontId="39" fillId="0" borderId="0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Border="1"/>
    <xf numFmtId="1" fontId="39" fillId="0" borderId="0" xfId="0" applyNumberFormat="1" applyFont="1" applyBorder="1" applyAlignment="1">
      <alignment horizontal="center"/>
    </xf>
    <xf numFmtId="43" fontId="2" fillId="0" borderId="5" xfId="1" applyFont="1" applyFill="1" applyBorder="1" applyAlignment="1">
      <alignment horizontal="center"/>
    </xf>
    <xf numFmtId="43" fontId="3" fillId="0" borderId="5" xfId="1" applyFont="1" applyFill="1" applyBorder="1" applyAlignment="1"/>
    <xf numFmtId="0" fontId="39" fillId="0" borderId="0" xfId="0" applyFont="1" applyFill="1" applyBorder="1" applyAlignment="1">
      <alignment horizontal="right" vertical="center"/>
    </xf>
    <xf numFmtId="0" fontId="42" fillId="0" borderId="0" xfId="0" applyFont="1" applyFill="1" applyAlignment="1">
      <alignment horizontal="left" vertical="center"/>
    </xf>
    <xf numFmtId="0" fontId="43" fillId="0" borderId="0" xfId="0" applyFont="1" applyFill="1" applyBorder="1"/>
    <xf numFmtId="49" fontId="2" fillId="0" borderId="0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43" fontId="26" fillId="0" borderId="0" xfId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67" fontId="21" fillId="0" borderId="7" xfId="1" applyNumberFormat="1" applyFont="1" applyFill="1" applyBorder="1"/>
    <xf numFmtId="0" fontId="20" fillId="0" borderId="7" xfId="0" applyFont="1" applyFill="1" applyBorder="1" applyAlignment="1">
      <alignment horizontal="right" vertical="center"/>
    </xf>
    <xf numFmtId="43" fontId="2" fillId="0" borderId="7" xfId="1" applyFont="1" applyFill="1" applyBorder="1" applyAlignment="1">
      <alignment horizontal="center" vertical="center" wrapText="1"/>
    </xf>
    <xf numFmtId="167" fontId="3" fillId="0" borderId="0" xfId="0" applyNumberFormat="1" applyFont="1" applyFill="1" applyBorder="1"/>
    <xf numFmtId="0" fontId="29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/>
    </xf>
    <xf numFmtId="167" fontId="3" fillId="0" borderId="7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167" fontId="23" fillId="0" borderId="7" xfId="1" applyNumberFormat="1" applyFont="1" applyFill="1" applyBorder="1"/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center"/>
    </xf>
    <xf numFmtId="167" fontId="21" fillId="0" borderId="0" xfId="1" applyNumberFormat="1" applyFont="1" applyFill="1" applyBorder="1"/>
    <xf numFmtId="167" fontId="23" fillId="0" borderId="0" xfId="1" applyNumberFormat="1" applyFont="1" applyFill="1" applyBorder="1"/>
    <xf numFmtId="167" fontId="30" fillId="0" borderId="0" xfId="0" applyNumberFormat="1" applyFont="1" applyFill="1" applyBorder="1"/>
    <xf numFmtId="0" fontId="44" fillId="0" borderId="20" xfId="0" applyFont="1" applyBorder="1" applyAlignment="1">
      <alignment horizontal="left" vertical="center"/>
    </xf>
    <xf numFmtId="167" fontId="2" fillId="0" borderId="0" xfId="1" applyNumberFormat="1" applyFont="1" applyAlignment="1">
      <alignment horizontal="center" vertical="center" wrapText="1"/>
    </xf>
    <xf numFmtId="43" fontId="44" fillId="0" borderId="7" xfId="1" applyFont="1" applyBorder="1"/>
    <xf numFmtId="0" fontId="23" fillId="0" borderId="0" xfId="0" applyFont="1" applyAlignment="1">
      <alignment horizontal="right"/>
    </xf>
    <xf numFmtId="43" fontId="3" fillId="0" borderId="0" xfId="1" applyFont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0" fontId="23" fillId="0" borderId="0" xfId="0" applyFont="1" applyBorder="1" applyAlignment="1">
      <alignment horizontal="right"/>
    </xf>
    <xf numFmtId="43" fontId="2" fillId="3" borderId="0" xfId="0" applyNumberFormat="1" applyFont="1" applyFill="1" applyAlignment="1">
      <alignment horizontal="center" vertical="center" wrapText="1"/>
    </xf>
    <xf numFmtId="43" fontId="2" fillId="0" borderId="0" xfId="1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3" fontId="3" fillId="0" borderId="7" xfId="0" applyNumberFormat="1" applyFont="1" applyBorder="1"/>
    <xf numFmtId="43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/>
    </xf>
    <xf numFmtId="168" fontId="3" fillId="3" borderId="7" xfId="1" applyNumberFormat="1" applyFont="1" applyFill="1" applyBorder="1"/>
    <xf numFmtId="173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9" fontId="2" fillId="0" borderId="0" xfId="2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2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left" vertical="center"/>
    </xf>
    <xf numFmtId="167" fontId="2" fillId="0" borderId="0" xfId="0" applyNumberFormat="1" applyFont="1" applyFill="1" applyBorder="1"/>
    <xf numFmtId="2" fontId="2" fillId="0" borderId="0" xfId="0" applyNumberFormat="1" applyFont="1" applyFill="1" applyBorder="1"/>
    <xf numFmtId="10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/>
    <xf numFmtId="168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0" fontId="2" fillId="0" borderId="22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/>
    </xf>
    <xf numFmtId="0" fontId="2" fillId="0" borderId="23" xfId="0" applyFont="1" applyFill="1" applyBorder="1"/>
    <xf numFmtId="49" fontId="2" fillId="0" borderId="4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/>
    <xf numFmtId="0" fontId="2" fillId="0" borderId="5" xfId="0" applyFont="1" applyBorder="1" applyAlignment="1">
      <alignment horizontal="center" vertical="center" wrapText="1"/>
    </xf>
    <xf numFmtId="49" fontId="3" fillId="15" borderId="7" xfId="0" applyNumberFormat="1" applyFont="1" applyFill="1" applyBorder="1" applyAlignment="1">
      <alignment horizontal="center" vertical="center" wrapText="1"/>
    </xf>
    <xf numFmtId="0" fontId="3" fillId="15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8" fontId="2" fillId="0" borderId="0" xfId="0" applyNumberFormat="1" applyFont="1" applyAlignment="1">
      <alignment vertical="center"/>
    </xf>
    <xf numFmtId="175" fontId="2" fillId="0" borderId="7" xfId="0" applyNumberFormat="1" applyFont="1" applyBorder="1" applyAlignment="1">
      <alignment horizontal="center" vertical="center"/>
    </xf>
    <xf numFmtId="10" fontId="2" fillId="0" borderId="7" xfId="2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8" fontId="2" fillId="0" borderId="0" xfId="0" applyNumberFormat="1" applyFont="1" applyBorder="1"/>
    <xf numFmtId="175" fontId="2" fillId="0" borderId="0" xfId="0" applyNumberFormat="1" applyFont="1" applyBorder="1" applyAlignment="1">
      <alignment horizontal="center" vertical="center"/>
    </xf>
    <xf numFmtId="0" fontId="3" fillId="16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5" fillId="0" borderId="7" xfId="0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/>
    </xf>
    <xf numFmtId="177" fontId="2" fillId="0" borderId="0" xfId="1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/>
    </xf>
    <xf numFmtId="2" fontId="10" fillId="0" borderId="7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0" fontId="13" fillId="0" borderId="17" xfId="0" applyFont="1" applyBorder="1"/>
    <xf numFmtId="0" fontId="13" fillId="0" borderId="18" xfId="0" applyFont="1" applyBorder="1"/>
    <xf numFmtId="0" fontId="13" fillId="0" borderId="19" xfId="0" applyFont="1" applyBorder="1"/>
    <xf numFmtId="0" fontId="13" fillId="0" borderId="2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0" fontId="13" fillId="0" borderId="20" xfId="0" applyNumberFormat="1" applyFont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9" fontId="13" fillId="0" borderId="0" xfId="0" applyNumberFormat="1" applyFont="1" applyBorder="1" applyAlignment="1">
      <alignment horizontal="center"/>
    </xf>
    <xf numFmtId="164" fontId="13" fillId="2" borderId="21" xfId="0" applyNumberFormat="1" applyFont="1" applyFill="1" applyBorder="1" applyAlignment="1">
      <alignment horizontal="center"/>
    </xf>
    <xf numFmtId="164" fontId="14" fillId="2" borderId="25" xfId="0" applyNumberFormat="1" applyFont="1" applyFill="1" applyBorder="1" applyAlignment="1">
      <alignment horizontal="center" vertical="center"/>
    </xf>
    <xf numFmtId="2" fontId="39" fillId="14" borderId="0" xfId="0" applyNumberFormat="1" applyFont="1" applyFill="1" applyBorder="1" applyAlignment="1">
      <alignment horizontal="center" vertical="distributed"/>
    </xf>
    <xf numFmtId="164" fontId="39" fillId="12" borderId="0" xfId="0" applyNumberFormat="1" applyFont="1" applyFill="1" applyBorder="1" applyAlignment="1">
      <alignment horizontal="center" vertical="distributed"/>
    </xf>
    <xf numFmtId="0" fontId="25" fillId="15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" fontId="46" fillId="0" borderId="7" xfId="0" applyNumberFormat="1" applyFont="1" applyFill="1" applyBorder="1" applyAlignment="1">
      <alignment horizontal="center" vertical="center" wrapText="1"/>
    </xf>
    <xf numFmtId="1" fontId="47" fillId="0" borderId="7" xfId="0" applyNumberFormat="1" applyFont="1" applyFill="1" applyBorder="1" applyAlignment="1">
      <alignment horizontal="center" vertical="center" wrapText="1"/>
    </xf>
    <xf numFmtId="1" fontId="48" fillId="0" borderId="7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right" vertical="center" wrapText="1"/>
    </xf>
    <xf numFmtId="1" fontId="13" fillId="0" borderId="14" xfId="0" applyNumberFormat="1" applyFont="1" applyFill="1" applyBorder="1" applyAlignment="1">
      <alignment horizontal="center" vertical="center" wrapText="1"/>
    </xf>
    <xf numFmtId="168" fontId="2" fillId="4" borderId="0" xfId="0" applyNumberFormat="1" applyFont="1" applyFill="1" applyBorder="1"/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175" fontId="2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9" fontId="2" fillId="4" borderId="0" xfId="2" applyNumberFormat="1" applyFont="1" applyFill="1" applyAlignment="1">
      <alignment horizontal="center" vertical="center"/>
    </xf>
    <xf numFmtId="0" fontId="42" fillId="4" borderId="7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45" fillId="2" borderId="7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right" vertical="center" wrapText="1"/>
    </xf>
    <xf numFmtId="175" fontId="2" fillId="4" borderId="7" xfId="0" applyNumberFormat="1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164" fontId="10" fillId="2" borderId="26" xfId="0" applyNumberFormat="1" applyFont="1" applyFill="1" applyBorder="1" applyAlignment="1">
      <alignment horizontal="center" vertical="center"/>
    </xf>
    <xf numFmtId="164" fontId="6" fillId="2" borderId="25" xfId="0" applyNumberFormat="1" applyFont="1" applyFill="1" applyBorder="1" applyAlignment="1">
      <alignment horizontal="center" vertical="center"/>
    </xf>
    <xf numFmtId="0" fontId="2" fillId="4" borderId="0" xfId="0" applyFont="1" applyFill="1"/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1" fontId="6" fillId="0" borderId="9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6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Border="1" applyAlignment="1"/>
    <xf numFmtId="0" fontId="0" fillId="5" borderId="7" xfId="0" applyFill="1" applyBorder="1" applyAlignment="1">
      <alignment horizontal="center"/>
    </xf>
    <xf numFmtId="176" fontId="2" fillId="0" borderId="0" xfId="0" applyNumberFormat="1" applyFont="1" applyAlignment="1">
      <alignment horizontal="left" vertical="center"/>
    </xf>
    <xf numFmtId="10" fontId="42" fillId="4" borderId="7" xfId="0" applyNumberFormat="1" applyFont="1" applyFill="1" applyBorder="1" applyAlignment="1">
      <alignment horizontal="center" vertical="center"/>
    </xf>
    <xf numFmtId="9" fontId="2" fillId="4" borderId="0" xfId="0" applyNumberFormat="1" applyFont="1" applyFill="1" applyBorder="1" applyAlignment="1">
      <alignment horizontal="center" vertical="center"/>
    </xf>
    <xf numFmtId="175" fontId="2" fillId="4" borderId="0" xfId="0" applyNumberFormat="1" applyFont="1" applyFill="1" applyBorder="1" applyAlignment="1">
      <alignment horizontal="center" vertical="center"/>
    </xf>
    <xf numFmtId="1" fontId="58" fillId="4" borderId="0" xfId="0" applyNumberFormat="1" applyFont="1" applyFill="1" applyBorder="1" applyAlignment="1">
      <alignment horizontal="center" vertical="center"/>
    </xf>
    <xf numFmtId="1" fontId="59" fillId="4" borderId="0" xfId="0" applyNumberFormat="1" applyFont="1" applyFill="1" applyBorder="1" applyAlignment="1">
      <alignment horizontal="center" vertical="center"/>
    </xf>
    <xf numFmtId="2" fontId="64" fillId="0" borderId="0" xfId="0" applyNumberFormat="1" applyFont="1" applyBorder="1" applyAlignment="1">
      <alignment horizontal="center" vertical="center"/>
    </xf>
    <xf numFmtId="2" fontId="65" fillId="0" borderId="0" xfId="0" applyNumberFormat="1" applyFont="1" applyBorder="1" applyAlignment="1">
      <alignment horizontal="center" vertical="center"/>
    </xf>
    <xf numFmtId="2" fontId="59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49" fontId="42" fillId="4" borderId="7" xfId="0" applyNumberFormat="1" applyFont="1" applyFill="1" applyBorder="1" applyAlignment="1">
      <alignment horizontal="center" vertical="center"/>
    </xf>
    <xf numFmtId="168" fontId="30" fillId="4" borderId="0" xfId="0" applyNumberFormat="1" applyFont="1" applyFill="1" applyBorder="1" applyAlignment="1">
      <alignment horizontal="right"/>
    </xf>
    <xf numFmtId="175" fontId="30" fillId="4" borderId="0" xfId="0" applyNumberFormat="1" applyFont="1" applyFill="1" applyBorder="1" applyAlignment="1">
      <alignment horizontal="right" vertical="center"/>
    </xf>
    <xf numFmtId="0" fontId="30" fillId="4" borderId="0" xfId="0" applyFont="1" applyFill="1" applyAlignment="1">
      <alignment horizontal="right" vertical="center"/>
    </xf>
    <xf numFmtId="9" fontId="30" fillId="4" borderId="0" xfId="2" applyNumberFormat="1" applyFont="1" applyFill="1" applyAlignment="1">
      <alignment horizontal="right" vertical="center"/>
    </xf>
    <xf numFmtId="2" fontId="64" fillId="4" borderId="0" xfId="0" applyNumberFormat="1" applyFont="1" applyFill="1" applyBorder="1" applyAlignment="1">
      <alignment horizontal="center" vertical="center"/>
    </xf>
    <xf numFmtId="2" fontId="65" fillId="4" borderId="0" xfId="0" applyNumberFormat="1" applyFont="1" applyFill="1" applyBorder="1" applyAlignment="1">
      <alignment horizontal="center" vertical="center"/>
    </xf>
    <xf numFmtId="2" fontId="59" fillId="4" borderId="0" xfId="0" applyNumberFormat="1" applyFont="1" applyFill="1" applyBorder="1" applyAlignment="1">
      <alignment horizontal="center" vertical="center"/>
    </xf>
    <xf numFmtId="2" fontId="3" fillId="4" borderId="0" xfId="0" applyNumberFormat="1" applyFont="1" applyFill="1" applyBorder="1" applyAlignment="1">
      <alignment horizontal="center" vertical="center"/>
    </xf>
    <xf numFmtId="3" fontId="6" fillId="0" borderId="0" xfId="0" applyNumberFormat="1" applyFont="1"/>
    <xf numFmtId="3" fontId="8" fillId="0" borderId="0" xfId="0" applyNumberFormat="1" applyFont="1"/>
    <xf numFmtId="3" fontId="10" fillId="0" borderId="0" xfId="0" applyNumberFormat="1" applyFont="1"/>
    <xf numFmtId="0" fontId="2" fillId="4" borderId="0" xfId="0" applyFont="1" applyFill="1" applyAlignment="1">
      <alignment horizontal="left"/>
    </xf>
    <xf numFmtId="0" fontId="43" fillId="4" borderId="0" xfId="0" applyFont="1" applyFill="1" applyAlignment="1">
      <alignment horizontal="left" vertical="center"/>
    </xf>
    <xf numFmtId="1" fontId="6" fillId="0" borderId="7" xfId="0" applyNumberFormat="1" applyFont="1" applyBorder="1" applyAlignment="1">
      <alignment vertical="center"/>
    </xf>
    <xf numFmtId="9" fontId="68" fillId="0" borderId="0" xfId="0" applyNumberFormat="1" applyFont="1"/>
    <xf numFmtId="0" fontId="69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" fontId="66" fillId="4" borderId="7" xfId="0" applyNumberFormat="1" applyFont="1" applyFill="1" applyBorder="1" applyAlignment="1">
      <alignment horizontal="center" vertical="center"/>
    </xf>
    <xf numFmtId="0" fontId="70" fillId="4" borderId="0" xfId="0" applyFont="1" applyFill="1" applyBorder="1" applyAlignment="1">
      <alignment horizontal="left" vertical="center"/>
    </xf>
    <xf numFmtId="0" fontId="50" fillId="16" borderId="13" xfId="0" applyFont="1" applyFill="1" applyBorder="1" applyAlignment="1">
      <alignment vertical="center"/>
    </xf>
    <xf numFmtId="0" fontId="50" fillId="16" borderId="14" xfId="0" applyFont="1" applyFill="1" applyBorder="1" applyAlignment="1">
      <alignment vertical="center"/>
    </xf>
    <xf numFmtId="0" fontId="16" fillId="0" borderId="24" xfId="0" applyFont="1" applyBorder="1" applyAlignment="1">
      <alignment horizontal="center"/>
    </xf>
    <xf numFmtId="0" fontId="72" fillId="0" borderId="29" xfId="0" applyFont="1" applyFill="1" applyBorder="1" applyAlignment="1">
      <alignment horizontal="center" vertical="center" wrapText="1"/>
    </xf>
    <xf numFmtId="0" fontId="72" fillId="0" borderId="31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center"/>
    </xf>
    <xf numFmtId="0" fontId="0" fillId="6" borderId="35" xfId="0" applyFill="1" applyBorder="1" applyAlignment="1">
      <alignment horizontal="center"/>
    </xf>
    <xf numFmtId="0" fontId="0" fillId="6" borderId="35" xfId="0" applyFill="1" applyBorder="1"/>
    <xf numFmtId="0" fontId="17" fillId="0" borderId="14" xfId="0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/>
    </xf>
    <xf numFmtId="0" fontId="2" fillId="0" borderId="4" xfId="0" applyFont="1" applyBorder="1"/>
    <xf numFmtId="0" fontId="2" fillId="0" borderId="11" xfId="0" applyFont="1" applyBorder="1" applyAlignment="1">
      <alignment horizontal="right"/>
    </xf>
    <xf numFmtId="0" fontId="74" fillId="0" borderId="7" xfId="0" applyFont="1" applyBorder="1" applyAlignment="1">
      <alignment horizontal="right"/>
    </xf>
    <xf numFmtId="1" fontId="4" fillId="4" borderId="7" xfId="0" applyNumberFormat="1" applyFont="1" applyFill="1" applyBorder="1" applyAlignment="1">
      <alignment horizontal="center" vertical="center"/>
    </xf>
    <xf numFmtId="164" fontId="55" fillId="4" borderId="7" xfId="0" applyNumberFormat="1" applyFont="1" applyFill="1" applyBorder="1" applyAlignment="1">
      <alignment horizontal="center" vertical="center"/>
    </xf>
    <xf numFmtId="164" fontId="49" fillId="4" borderId="7" xfId="0" applyNumberFormat="1" applyFont="1" applyFill="1" applyBorder="1" applyAlignment="1">
      <alignment horizontal="center" vertical="center"/>
    </xf>
    <xf numFmtId="164" fontId="2" fillId="4" borderId="0" xfId="0" applyNumberFormat="1" applyFont="1" applyFill="1"/>
    <xf numFmtId="164" fontId="76" fillId="0" borderId="0" xfId="0" applyNumberFormat="1" applyFont="1" applyAlignment="1">
      <alignment horizontal="left"/>
    </xf>
    <xf numFmtId="0" fontId="76" fillId="0" borderId="0" xfId="0" applyFont="1" applyAlignment="1">
      <alignment horizontal="left"/>
    </xf>
    <xf numFmtId="164" fontId="76" fillId="0" borderId="0" xfId="0" applyNumberFormat="1" applyFont="1"/>
    <xf numFmtId="0" fontId="76" fillId="0" borderId="0" xfId="0" applyFont="1" applyAlignment="1">
      <alignment horizontal="right"/>
    </xf>
    <xf numFmtId="0" fontId="0" fillId="18" borderId="7" xfId="0" applyFill="1" applyBorder="1"/>
    <xf numFmtId="0" fontId="75" fillId="4" borderId="0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right" vertical="center" wrapText="1"/>
    </xf>
    <xf numFmtId="0" fontId="14" fillId="0" borderId="7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0" fillId="18" borderId="35" xfId="0" applyFill="1" applyBorder="1"/>
    <xf numFmtId="0" fontId="13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right"/>
    </xf>
    <xf numFmtId="49" fontId="40" fillId="0" borderId="0" xfId="1" applyNumberFormat="1" applyFont="1" applyFill="1" applyBorder="1" applyAlignment="1">
      <alignment horizontal="right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/>
    <xf numFmtId="167" fontId="39" fillId="0" borderId="0" xfId="0" applyNumberFormat="1" applyFont="1" applyFill="1" applyBorder="1" applyAlignment="1">
      <alignment horizontal="center" vertical="center" wrapText="1"/>
    </xf>
    <xf numFmtId="43" fontId="41" fillId="0" borderId="0" xfId="1" applyFont="1" applyFill="1" applyBorder="1"/>
    <xf numFmtId="43" fontId="39" fillId="0" borderId="0" xfId="1" applyFont="1" applyFill="1" applyBorder="1" applyAlignment="1">
      <alignment horizontal="right"/>
    </xf>
    <xf numFmtId="167" fontId="2" fillId="0" borderId="7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10" fontId="2" fillId="0" borderId="7" xfId="2" applyNumberFormat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2" fillId="0" borderId="7" xfId="0" applyFont="1" applyBorder="1" applyAlignment="1">
      <alignment horizontal="left" vertical="center" wrapText="1"/>
    </xf>
    <xf numFmtId="0" fontId="4" fillId="16" borderId="16" xfId="0" applyFont="1" applyFill="1" applyBorder="1" applyAlignment="1">
      <alignment vertical="center"/>
    </xf>
    <xf numFmtId="164" fontId="4" fillId="4" borderId="7" xfId="0" applyNumberFormat="1" applyFont="1" applyFill="1" applyBorder="1" applyAlignment="1">
      <alignment horizontal="center" vertical="center"/>
    </xf>
    <xf numFmtId="1" fontId="77" fillId="4" borderId="7" xfId="0" applyNumberFormat="1" applyFont="1" applyFill="1" applyBorder="1" applyAlignment="1">
      <alignment horizontal="center" vertical="center"/>
    </xf>
    <xf numFmtId="0" fontId="79" fillId="0" borderId="0" xfId="0" applyFont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51" fillId="0" borderId="0" xfId="0" applyFont="1" applyAlignment="1">
      <alignment vertical="top"/>
    </xf>
    <xf numFmtId="10" fontId="2" fillId="0" borderId="0" xfId="0" applyNumberFormat="1" applyFont="1" applyAlignment="1">
      <alignment horizontal="center" vertical="center"/>
    </xf>
    <xf numFmtId="0" fontId="5" fillId="4" borderId="7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/>
    </xf>
    <xf numFmtId="0" fontId="42" fillId="4" borderId="0" xfId="0" applyFont="1" applyFill="1" applyBorder="1" applyAlignment="1">
      <alignment horizontal="left" vertical="center" wrapText="1"/>
    </xf>
    <xf numFmtId="49" fontId="42" fillId="0" borderId="7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 wrapText="1"/>
    </xf>
    <xf numFmtId="0" fontId="80" fillId="2" borderId="7" xfId="0" applyFont="1" applyFill="1" applyBorder="1" applyAlignment="1">
      <alignment horizontal="center" vertical="center"/>
    </xf>
    <xf numFmtId="0" fontId="81" fillId="4" borderId="0" xfId="0" applyFont="1" applyFill="1"/>
    <xf numFmtId="0" fontId="68" fillId="0" borderId="0" xfId="0" applyFont="1" applyBorder="1" applyAlignment="1">
      <alignment horizontal="center" vertical="center" textRotation="90"/>
    </xf>
    <xf numFmtId="0" fontId="82" fillId="0" borderId="0" xfId="0" applyFont="1" applyBorder="1" applyAlignment="1">
      <alignment horizontal="center" vertical="center" textRotation="90"/>
    </xf>
    <xf numFmtId="9" fontId="13" fillId="0" borderId="0" xfId="0" applyNumberFormat="1" applyFont="1" applyBorder="1" applyAlignment="1">
      <alignment horizontal="left"/>
    </xf>
    <xf numFmtId="164" fontId="56" fillId="2" borderId="7" xfId="0" applyNumberFormat="1" applyFont="1" applyFill="1" applyBorder="1" applyAlignment="1">
      <alignment horizontal="center" vertical="center"/>
    </xf>
    <xf numFmtId="1" fontId="57" fillId="4" borderId="7" xfId="0" applyNumberFormat="1" applyFont="1" applyFill="1" applyBorder="1" applyAlignment="1">
      <alignment horizontal="center" vertical="center"/>
    </xf>
    <xf numFmtId="1" fontId="2" fillId="4" borderId="0" xfId="0" applyNumberFormat="1" applyFont="1" applyFill="1"/>
    <xf numFmtId="164" fontId="84" fillId="4" borderId="7" xfId="0" applyNumberFormat="1" applyFont="1" applyFill="1" applyBorder="1" applyAlignment="1">
      <alignment horizontal="center" vertical="center"/>
    </xf>
    <xf numFmtId="1" fontId="84" fillId="4" borderId="7" xfId="0" applyNumberFormat="1" applyFont="1" applyFill="1" applyBorder="1" applyAlignment="1">
      <alignment horizontal="center" vertical="center"/>
    </xf>
    <xf numFmtId="164" fontId="6" fillId="0" borderId="0" xfId="0" applyNumberFormat="1" applyFont="1"/>
    <xf numFmtId="164" fontId="8" fillId="0" borderId="0" xfId="0" applyNumberFormat="1" applyFont="1"/>
    <xf numFmtId="164" fontId="10" fillId="0" borderId="0" xfId="0" applyNumberFormat="1" applyFont="1"/>
    <xf numFmtId="166" fontId="42" fillId="0" borderId="7" xfId="0" applyNumberFormat="1" applyFont="1" applyFill="1" applyBorder="1" applyAlignment="1">
      <alignment horizontal="center" vertical="center"/>
    </xf>
    <xf numFmtId="0" fontId="0" fillId="4" borderId="0" xfId="0" applyFill="1"/>
    <xf numFmtId="0" fontId="71" fillId="4" borderId="0" xfId="0" applyFont="1" applyFill="1" applyBorder="1" applyAlignment="1">
      <alignment vertical="center" wrapText="1"/>
    </xf>
    <xf numFmtId="0" fontId="71" fillId="4" borderId="0" xfId="0" applyFont="1" applyFill="1" applyBorder="1" applyAlignment="1">
      <alignment horizontal="left" vertical="center" wrapText="1"/>
    </xf>
    <xf numFmtId="0" fontId="87" fillId="0" borderId="0" xfId="0" applyFont="1"/>
    <xf numFmtId="0" fontId="87" fillId="0" borderId="0" xfId="0" applyFont="1" applyAlignment="1">
      <alignment horizontal="center"/>
    </xf>
    <xf numFmtId="0" fontId="87" fillId="0" borderId="0" xfId="0" applyFont="1" applyBorder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10" fontId="87" fillId="0" borderId="0" xfId="2" applyNumberFormat="1" applyFont="1"/>
    <xf numFmtId="10" fontId="87" fillId="0" borderId="0" xfId="2" applyNumberFormat="1" applyFont="1" applyAlignment="1">
      <alignment horizontal="center"/>
    </xf>
    <xf numFmtId="2" fontId="87" fillId="0" borderId="0" xfId="0" applyNumberFormat="1" applyFont="1" applyAlignment="1">
      <alignment horizontal="center"/>
    </xf>
    <xf numFmtId="164" fontId="87" fillId="0" borderId="0" xfId="0" applyNumberFormat="1" applyFont="1" applyAlignment="1">
      <alignment horizontal="center"/>
    </xf>
    <xf numFmtId="43" fontId="87" fillId="0" borderId="0" xfId="1" applyFont="1" applyFill="1" applyBorder="1" applyAlignment="1">
      <alignment horizontal="center" vertical="center" wrapText="1"/>
    </xf>
    <xf numFmtId="2" fontId="87" fillId="0" borderId="0" xfId="0" applyNumberFormat="1" applyFont="1" applyFill="1" applyAlignment="1">
      <alignment horizontal="center"/>
    </xf>
    <xf numFmtId="49" fontId="80" fillId="2" borderId="7" xfId="0" applyNumberFormat="1" applyFont="1" applyFill="1" applyBorder="1" applyAlignment="1">
      <alignment horizontal="center" vertical="center"/>
    </xf>
    <xf numFmtId="10" fontId="42" fillId="0" borderId="7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2" fontId="2" fillId="0" borderId="8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3" fontId="2" fillId="7" borderId="7" xfId="0" applyNumberFormat="1" applyFont="1" applyFill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7" borderId="7" xfId="1" applyNumberFormat="1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64" fontId="77" fillId="4" borderId="7" xfId="0" applyNumberFormat="1" applyFont="1" applyFill="1" applyBorder="1" applyAlignment="1">
      <alignment horizontal="center" vertical="center"/>
    </xf>
    <xf numFmtId="0" fontId="88" fillId="2" borderId="7" xfId="0" applyFont="1" applyFill="1" applyBorder="1" applyAlignment="1">
      <alignment horizontal="center" vertical="center"/>
    </xf>
    <xf numFmtId="164" fontId="17" fillId="4" borderId="7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1" fontId="6" fillId="2" borderId="7" xfId="0" applyNumberFormat="1" applyFont="1" applyFill="1" applyBorder="1" applyAlignment="1">
      <alignment horizontal="center" vertical="center"/>
    </xf>
    <xf numFmtId="1" fontId="14" fillId="2" borderId="7" xfId="0" applyNumberFormat="1" applyFont="1" applyFill="1" applyBorder="1" applyAlignment="1">
      <alignment horizontal="center" vertical="center"/>
    </xf>
    <xf numFmtId="1" fontId="10" fillId="2" borderId="7" xfId="0" applyNumberFormat="1" applyFont="1" applyFill="1" applyBorder="1" applyAlignment="1">
      <alignment horizontal="center" vertical="center"/>
    </xf>
    <xf numFmtId="0" fontId="0" fillId="19" borderId="7" xfId="0" applyFill="1" applyBorder="1"/>
    <xf numFmtId="0" fontId="88" fillId="0" borderId="0" xfId="0" applyFont="1" applyBorder="1" applyAlignment="1">
      <alignment horizontal="center" vertical="center"/>
    </xf>
    <xf numFmtId="0" fontId="0" fillId="19" borderId="35" xfId="0" applyFill="1" applyBorder="1"/>
    <xf numFmtId="0" fontId="66" fillId="0" borderId="14" xfId="0" applyFont="1" applyBorder="1" applyAlignment="1">
      <alignment horizontal="center" vertical="center"/>
    </xf>
    <xf numFmtId="0" fontId="0" fillId="5" borderId="8" xfId="0" applyFill="1" applyBorder="1"/>
    <xf numFmtId="0" fontId="0" fillId="18" borderId="8" xfId="0" applyFill="1" applyBorder="1"/>
    <xf numFmtId="0" fontId="12" fillId="0" borderId="0" xfId="0" applyFont="1" applyBorder="1" applyAlignment="1">
      <alignment vertical="top" textRotation="180" wrapText="1"/>
    </xf>
    <xf numFmtId="0" fontId="13" fillId="2" borderId="0" xfId="0" applyFont="1" applyFill="1" applyBorder="1" applyAlignment="1">
      <alignment horizontal="left" vertical="center" wrapText="1"/>
    </xf>
    <xf numFmtId="1" fontId="56" fillId="0" borderId="7" xfId="0" applyNumberFormat="1" applyFont="1" applyFill="1" applyBorder="1" applyAlignment="1">
      <alignment horizontal="center" vertical="center"/>
    </xf>
    <xf numFmtId="0" fontId="92" fillId="4" borderId="0" xfId="0" applyFont="1" applyFill="1" applyBorder="1" applyAlignment="1">
      <alignment horizontal="center" vertical="center"/>
    </xf>
    <xf numFmtId="1" fontId="93" fillId="4" borderId="7" xfId="0" applyNumberFormat="1" applyFont="1" applyFill="1" applyBorder="1" applyAlignment="1">
      <alignment horizontal="center" vertical="center"/>
    </xf>
    <xf numFmtId="1" fontId="49" fillId="4" borderId="7" xfId="0" applyNumberFormat="1" applyFont="1" applyFill="1" applyBorder="1" applyAlignment="1">
      <alignment horizontal="center" vertical="center"/>
    </xf>
    <xf numFmtId="164" fontId="93" fillId="4" borderId="7" xfId="0" applyNumberFormat="1" applyFont="1" applyFill="1" applyBorder="1" applyAlignment="1">
      <alignment horizontal="center" vertical="center"/>
    </xf>
    <xf numFmtId="166" fontId="94" fillId="0" borderId="7" xfId="0" applyNumberFormat="1" applyFont="1" applyFill="1" applyBorder="1" applyAlignment="1">
      <alignment horizontal="center" vertical="center"/>
    </xf>
    <xf numFmtId="0" fontId="79" fillId="4" borderId="0" xfId="0" applyFont="1" applyFill="1" applyAlignment="1">
      <alignment horizontal="left" vertical="center"/>
    </xf>
    <xf numFmtId="0" fontId="2" fillId="4" borderId="7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center" vertical="center"/>
    </xf>
    <xf numFmtId="168" fontId="13" fillId="4" borderId="0" xfId="0" applyNumberFormat="1" applyFont="1" applyFill="1" applyBorder="1"/>
    <xf numFmtId="175" fontId="13" fillId="4" borderId="7" xfId="0" applyNumberFormat="1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9" fontId="13" fillId="4" borderId="0" xfId="2" applyNumberFormat="1" applyFont="1" applyFill="1" applyAlignment="1">
      <alignment horizontal="center" vertical="center"/>
    </xf>
    <xf numFmtId="0" fontId="13" fillId="4" borderId="0" xfId="0" applyFont="1" applyFill="1"/>
    <xf numFmtId="164" fontId="96" fillId="4" borderId="7" xfId="0" applyNumberFormat="1" applyFont="1" applyFill="1" applyBorder="1" applyAlignment="1">
      <alignment horizontal="center" vertical="center"/>
    </xf>
    <xf numFmtId="1" fontId="17" fillId="4" borderId="7" xfId="0" applyNumberFormat="1" applyFont="1" applyFill="1" applyBorder="1" applyAlignment="1">
      <alignment horizontal="center" vertical="center"/>
    </xf>
    <xf numFmtId="164" fontId="66" fillId="4" borderId="7" xfId="0" applyNumberFormat="1" applyFont="1" applyFill="1" applyBorder="1" applyAlignment="1">
      <alignment horizontal="center" vertical="center"/>
    </xf>
    <xf numFmtId="0" fontId="97" fillId="4" borderId="0" xfId="0" applyFont="1" applyFill="1" applyAlignment="1">
      <alignment horizontal="left" vertical="center"/>
    </xf>
    <xf numFmtId="1" fontId="17" fillId="2" borderId="7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164" fontId="100" fillId="4" borderId="7" xfId="0" applyNumberFormat="1" applyFont="1" applyFill="1" applyBorder="1" applyAlignment="1">
      <alignment horizontal="right" vertical="center"/>
    </xf>
    <xf numFmtId="0" fontId="101" fillId="4" borderId="0" xfId="0" applyFont="1" applyFill="1" applyAlignment="1">
      <alignment horizontal="right"/>
    </xf>
    <xf numFmtId="0" fontId="30" fillId="4" borderId="7" xfId="0" applyFont="1" applyFill="1" applyBorder="1" applyAlignment="1">
      <alignment horizontal="right" vertical="center"/>
    </xf>
    <xf numFmtId="0" fontId="30" fillId="0" borderId="7" xfId="0" applyFont="1" applyFill="1" applyBorder="1" applyAlignment="1">
      <alignment horizontal="right" vertical="center"/>
    </xf>
    <xf numFmtId="49" fontId="30" fillId="0" borderId="7" xfId="0" applyNumberFormat="1" applyFont="1" applyFill="1" applyBorder="1" applyAlignment="1">
      <alignment horizontal="right" vertical="center"/>
    </xf>
    <xf numFmtId="49" fontId="9" fillId="2" borderId="7" xfId="0" applyNumberFormat="1" applyFont="1" applyFill="1" applyBorder="1" applyAlignment="1">
      <alignment horizontal="right" vertical="center"/>
    </xf>
    <xf numFmtId="166" fontId="102" fillId="0" borderId="7" xfId="0" applyNumberFormat="1" applyFont="1" applyFill="1" applyBorder="1" applyAlignment="1">
      <alignment horizontal="right" vertical="center"/>
    </xf>
    <xf numFmtId="0" fontId="102" fillId="4" borderId="7" xfId="0" applyFont="1" applyFill="1" applyBorder="1" applyAlignment="1">
      <alignment horizontal="right" vertical="center"/>
    </xf>
    <xf numFmtId="49" fontId="7" fillId="2" borderId="7" xfId="0" applyNumberFormat="1" applyFont="1" applyFill="1" applyBorder="1" applyAlignment="1">
      <alignment horizontal="right" vertical="center"/>
    </xf>
    <xf numFmtId="164" fontId="99" fillId="4" borderId="7" xfId="0" applyNumberFormat="1" applyFont="1" applyFill="1" applyBorder="1" applyAlignment="1">
      <alignment horizontal="right" vertical="center"/>
    </xf>
    <xf numFmtId="164" fontId="103" fillId="4" borderId="0" xfId="0" applyNumberFormat="1" applyFont="1" applyFill="1" applyBorder="1" applyAlignment="1">
      <alignment horizontal="right" vertical="center"/>
    </xf>
    <xf numFmtId="1" fontId="103" fillId="4" borderId="0" xfId="0" applyNumberFormat="1" applyFont="1" applyFill="1" applyBorder="1" applyAlignment="1">
      <alignment horizontal="right" vertical="center"/>
    </xf>
    <xf numFmtId="0" fontId="104" fillId="4" borderId="0" xfId="0" applyFont="1" applyFill="1" applyBorder="1" applyAlignment="1">
      <alignment horizontal="left" vertical="center"/>
    </xf>
    <xf numFmtId="1" fontId="100" fillId="4" borderId="7" xfId="0" applyNumberFormat="1" applyFont="1" applyFill="1" applyBorder="1" applyAlignment="1">
      <alignment horizontal="right" vertical="center"/>
    </xf>
    <xf numFmtId="1" fontId="107" fillId="4" borderId="7" xfId="0" applyNumberFormat="1" applyFont="1" applyFill="1" applyBorder="1" applyAlignment="1">
      <alignment horizontal="right" vertical="center"/>
    </xf>
    <xf numFmtId="164" fontId="108" fillId="4" borderId="7" xfId="0" applyNumberFormat="1" applyFont="1" applyFill="1" applyBorder="1" applyAlignment="1">
      <alignment horizontal="right" vertical="center"/>
    </xf>
    <xf numFmtId="0" fontId="2" fillId="4" borderId="11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24" fillId="4" borderId="7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4" fillId="16" borderId="16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45" fillId="4" borderId="7" xfId="0" applyFont="1" applyFill="1" applyBorder="1" applyAlignment="1">
      <alignment horizontal="left" vertical="center" wrapText="1"/>
    </xf>
    <xf numFmtId="0" fontId="4" fillId="17" borderId="16" xfId="0" applyFont="1" applyFill="1" applyBorder="1" applyAlignment="1">
      <alignment horizontal="left" vertical="center" wrapText="1"/>
    </xf>
    <xf numFmtId="0" fontId="4" fillId="17" borderId="13" xfId="0" applyFont="1" applyFill="1" applyBorder="1" applyAlignment="1">
      <alignment horizontal="left" vertical="center" wrapText="1"/>
    </xf>
    <xf numFmtId="0" fontId="4" fillId="17" borderId="14" xfId="0" applyFont="1" applyFill="1" applyBorder="1" applyAlignment="1">
      <alignment horizontal="left" vertical="center" wrapText="1"/>
    </xf>
    <xf numFmtId="0" fontId="53" fillId="4" borderId="28" xfId="0" applyFont="1" applyFill="1" applyBorder="1" applyAlignment="1">
      <alignment horizontal="center" vertical="top" wrapText="1"/>
    </xf>
    <xf numFmtId="0" fontId="53" fillId="4" borderId="30" xfId="0" applyFont="1" applyFill="1" applyBorder="1" applyAlignment="1">
      <alignment horizontal="center" vertical="top" wrapText="1"/>
    </xf>
    <xf numFmtId="0" fontId="54" fillId="4" borderId="28" xfId="0" applyFont="1" applyFill="1" applyBorder="1" applyAlignment="1">
      <alignment horizontal="center" vertical="top" wrapText="1"/>
    </xf>
    <xf numFmtId="0" fontId="54" fillId="4" borderId="30" xfId="0" applyFont="1" applyFill="1" applyBorder="1" applyAlignment="1">
      <alignment horizontal="center" vertical="top" wrapText="1"/>
    </xf>
    <xf numFmtId="0" fontId="52" fillId="4" borderId="28" xfId="0" applyFont="1" applyFill="1" applyBorder="1" applyAlignment="1">
      <alignment horizontal="center" vertical="top" wrapText="1"/>
    </xf>
    <xf numFmtId="0" fontId="52" fillId="4" borderId="30" xfId="0" applyFont="1" applyFill="1" applyBorder="1" applyAlignment="1">
      <alignment horizontal="center" vertical="top" wrapText="1"/>
    </xf>
    <xf numFmtId="0" fontId="5" fillId="4" borderId="28" xfId="0" applyFont="1" applyFill="1" applyBorder="1" applyAlignment="1">
      <alignment horizontal="center" vertical="top" wrapText="1"/>
    </xf>
    <xf numFmtId="0" fontId="5" fillId="4" borderId="30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61" fillId="0" borderId="4" xfId="0" applyFont="1" applyBorder="1" applyAlignment="1">
      <alignment horizontal="left" vertical="center" wrapText="1"/>
    </xf>
    <xf numFmtId="0" fontId="61" fillId="0" borderId="5" xfId="0" applyFont="1" applyBorder="1" applyAlignment="1">
      <alignment horizontal="left" vertical="center" wrapText="1"/>
    </xf>
    <xf numFmtId="0" fontId="61" fillId="0" borderId="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distributed"/>
    </xf>
    <xf numFmtId="0" fontId="2" fillId="0" borderId="9" xfId="0" applyFont="1" applyBorder="1" applyAlignment="1">
      <alignment horizontal="center" vertical="distributed"/>
    </xf>
    <xf numFmtId="0" fontId="4" fillId="17" borderId="16" xfId="0" applyFont="1" applyFill="1" applyBorder="1" applyAlignment="1">
      <alignment horizontal="center" vertical="center" wrapText="1"/>
    </xf>
    <xf numFmtId="0" fontId="4" fillId="17" borderId="14" xfId="0" applyFont="1" applyFill="1" applyBorder="1" applyAlignment="1">
      <alignment horizontal="center" vertical="center" wrapText="1"/>
    </xf>
    <xf numFmtId="0" fontId="73" fillId="0" borderId="16" xfId="0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/>
    </xf>
    <xf numFmtId="0" fontId="85" fillId="17" borderId="16" xfId="0" applyFont="1" applyFill="1" applyBorder="1" applyAlignment="1">
      <alignment horizontal="left" vertical="center" wrapText="1"/>
    </xf>
    <xf numFmtId="0" fontId="85" fillId="17" borderId="13" xfId="0" applyFont="1" applyFill="1" applyBorder="1" applyAlignment="1">
      <alignment horizontal="left" vertical="center" wrapText="1"/>
    </xf>
    <xf numFmtId="0" fontId="85" fillId="17" borderId="14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top" textRotation="180" wrapText="1"/>
    </xf>
    <xf numFmtId="0" fontId="71" fillId="4" borderId="16" xfId="0" applyFont="1" applyFill="1" applyBorder="1" applyAlignment="1">
      <alignment horizontal="left" vertical="center" wrapText="1"/>
    </xf>
    <xf numFmtId="0" fontId="71" fillId="4" borderId="13" xfId="0" applyFont="1" applyFill="1" applyBorder="1" applyAlignment="1">
      <alignment horizontal="left" vertical="center" wrapText="1"/>
    </xf>
    <xf numFmtId="0" fontId="71" fillId="4" borderId="14" xfId="0" applyFont="1" applyFill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right" vertical="center"/>
    </xf>
    <xf numFmtId="1" fontId="10" fillId="0" borderId="7" xfId="0" applyNumberFormat="1" applyFont="1" applyBorder="1" applyAlignment="1">
      <alignment horizontal="right" vertical="center"/>
    </xf>
    <xf numFmtId="0" fontId="13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textRotation="180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CCFF66"/>
      <color rgb="FF008000"/>
      <color rgb="FF006600"/>
      <color rgb="FF669900"/>
      <color rgb="FF99FF66"/>
      <color rgb="FF993300"/>
      <color rgb="FFFFFF99"/>
      <color rgb="FF0000FF"/>
      <color rgb="FFC0C0C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rgbClr val="993300"/>
                </a:solidFill>
              </a:rPr>
              <a:t>Gráfico "Lo 3 tiempos biográficos</a:t>
            </a:r>
            <a:r>
              <a:rPr lang="en-US" sz="1200" b="1" baseline="0">
                <a:solidFill>
                  <a:srgbClr val="993300"/>
                </a:solidFill>
              </a:rPr>
              <a:t> (3tB)": </a:t>
            </a:r>
            <a:r>
              <a:rPr lang="en-US" sz="1200" b="1" baseline="0">
                <a:solidFill>
                  <a:schemeClr val="tx1"/>
                </a:solidFill>
              </a:rPr>
              <a:t>Prolongación del tiempo medio de Supervivencia Libre del Evento (PtSLEv)</a:t>
            </a:r>
            <a:endParaRPr lang="en-US" sz="12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7.3222222222222216E-2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IncAcum!$R$6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427898137163777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DF-4ACE-ACCC-F1B748B91B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IncAcum!$S$6</c:f>
              <c:numCache>
                <c:formatCode>0.0</c:formatCode>
                <c:ptCount val="1"/>
                <c:pt idx="0">
                  <c:v>0.51986475063398141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DF-4ACE-ACCC-F1B748B91B13}"/>
            </c:ext>
          </c:extLst>
        </c:ser>
        <c:ser>
          <c:idx val="1"/>
          <c:order val="1"/>
          <c:tx>
            <c:strRef>
              <c:f>IncAcum!$R$7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4542883343068614"/>
                  <c:y val="-4.16666666666667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0066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DF-4ACE-ACCC-F1B748B91B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IncAcum!$S$7</c:f>
              <c:numCache>
                <c:formatCode>0.0</c:formatCode>
                <c:ptCount val="1"/>
                <c:pt idx="0">
                  <c:v>0.21542500433376999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DF-4ACE-ACCC-F1B748B91B13}"/>
            </c:ext>
          </c:extLst>
        </c:ser>
        <c:ser>
          <c:idx val="2"/>
          <c:order val="2"/>
          <c:tx>
            <c:strRef>
              <c:f>IncAcum!$R$8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6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5070687285930304"/>
                  <c:y val="-4.629629629629629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6699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DF-4ACE-ACCC-F1B748B91B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IncAcum!$S$8</c:f>
              <c:numCache>
                <c:formatCode>0.0</c:formatCode>
                <c:ptCount val="1"/>
                <c:pt idx="0">
                  <c:v>59.264710245032255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DF-4ACE-ACCC-F1B748B91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0910128"/>
        <c:axId val="2013536832"/>
      </c:barChart>
      <c:catAx>
        <c:axId val="210091012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3</a:t>
                </a:r>
                <a:r>
                  <a:rPr lang="es-ES" baseline="0">
                    <a:solidFill>
                      <a:sysClr val="windowText" lastClr="000000"/>
                    </a:solidFill>
                  </a:rPr>
                  <a:t> tiempos biográficos (3tB) en meses</a:t>
                </a:r>
                <a:endParaRPr lang="es-ES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34466615673325102"/>
              <c:y val="0.80518445610965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crossAx val="2013536832"/>
        <c:crosses val="autoZero"/>
        <c:auto val="1"/>
        <c:lblAlgn val="ctr"/>
        <c:lblOffset val="100"/>
        <c:noMultiLvlLbl val="0"/>
      </c:catAx>
      <c:valAx>
        <c:axId val="2013536832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 de tiempo de seguimiento analizado</a:t>
                </a:r>
              </a:p>
            </c:rich>
          </c:tx>
          <c:layout>
            <c:manualLayout>
              <c:xMode val="edge"/>
              <c:yMode val="edge"/>
              <c:x val="2.6390197143084534E-3"/>
              <c:y val="0.218981481481481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00910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331105</xdr:colOff>
      <xdr:row>0</xdr:row>
      <xdr:rowOff>0</xdr:rowOff>
    </xdr:from>
    <xdr:to>
      <xdr:col>28</xdr:col>
      <xdr:colOff>353784</xdr:colOff>
      <xdr:row>59</xdr:row>
      <xdr:rowOff>148771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9E8E777-D6D4-43A1-B4DE-72468316EC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42584</xdr:colOff>
      <xdr:row>19</xdr:row>
      <xdr:rowOff>104588</xdr:rowOff>
    </xdr:from>
    <xdr:to>
      <xdr:col>31</xdr:col>
      <xdr:colOff>14942</xdr:colOff>
      <xdr:row>19</xdr:row>
      <xdr:rowOff>129769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flipV="1">
          <a:off x="4166349" y="4713941"/>
          <a:ext cx="2661769" cy="25181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7</xdr:col>
      <xdr:colOff>22257</xdr:colOff>
      <xdr:row>23</xdr:row>
      <xdr:rowOff>59765</xdr:rowOff>
    </xdr:from>
    <xdr:to>
      <xdr:col>67</xdr:col>
      <xdr:colOff>52295</xdr:colOff>
      <xdr:row>23</xdr:row>
      <xdr:rowOff>84919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V="1">
          <a:off x="4146022" y="5438589"/>
          <a:ext cx="6753567" cy="25154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70</xdr:col>
      <xdr:colOff>14495</xdr:colOff>
      <xdr:row>21</xdr:row>
      <xdr:rowOff>109453</xdr:rowOff>
    </xdr:from>
    <xdr:to>
      <xdr:col>100</xdr:col>
      <xdr:colOff>14942</xdr:colOff>
      <xdr:row>21</xdr:row>
      <xdr:rowOff>112059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11885260" y="5099806"/>
          <a:ext cx="3362211" cy="2606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7</xdr:col>
      <xdr:colOff>18142</xdr:colOff>
      <xdr:row>21</xdr:row>
      <xdr:rowOff>108857</xdr:rowOff>
    </xdr:from>
    <xdr:to>
      <xdr:col>66</xdr:col>
      <xdr:colOff>99786</xdr:colOff>
      <xdr:row>21</xdr:row>
      <xdr:rowOff>117928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 flipV="1">
          <a:off x="4136571" y="5052786"/>
          <a:ext cx="7039429" cy="9071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70</xdr:col>
      <xdr:colOff>29883</xdr:colOff>
      <xdr:row>19</xdr:row>
      <xdr:rowOff>82176</xdr:rowOff>
    </xdr:from>
    <xdr:to>
      <xdr:col>94</xdr:col>
      <xdr:colOff>14942</xdr:colOff>
      <xdr:row>19</xdr:row>
      <xdr:rowOff>92306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260AA410-6AD2-49BE-9616-78449BFFDF0D}"/>
            </a:ext>
          </a:extLst>
        </xdr:cNvPr>
        <xdr:cNvCxnSpPr/>
      </xdr:nvCxnSpPr>
      <xdr:spPr>
        <a:xfrm flipV="1">
          <a:off x="11900648" y="4691529"/>
          <a:ext cx="2674470" cy="10130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70</xdr:col>
      <xdr:colOff>22257</xdr:colOff>
      <xdr:row>23</xdr:row>
      <xdr:rowOff>84919</xdr:rowOff>
    </xdr:from>
    <xdr:to>
      <xdr:col>129</xdr:col>
      <xdr:colOff>97118</xdr:colOff>
      <xdr:row>23</xdr:row>
      <xdr:rowOff>89647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90071037-CCCB-447D-885A-8CBE5C2B6349}"/>
            </a:ext>
          </a:extLst>
        </xdr:cNvPr>
        <xdr:cNvCxnSpPr/>
      </xdr:nvCxnSpPr>
      <xdr:spPr>
        <a:xfrm>
          <a:off x="11893022" y="5463743"/>
          <a:ext cx="6686331" cy="4728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106083</xdr:colOff>
      <xdr:row>19</xdr:row>
      <xdr:rowOff>81643</xdr:rowOff>
    </xdr:from>
    <xdr:to>
      <xdr:col>29</xdr:col>
      <xdr:colOff>90714</xdr:colOff>
      <xdr:row>19</xdr:row>
      <xdr:rowOff>93485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0763B0D1-6886-4592-B716-69CBB89FE8CD}"/>
            </a:ext>
          </a:extLst>
        </xdr:cNvPr>
        <xdr:cNvCxnSpPr/>
      </xdr:nvCxnSpPr>
      <xdr:spPr>
        <a:xfrm flipV="1">
          <a:off x="4224512" y="4653643"/>
          <a:ext cx="2579059" cy="11842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7</xdr:col>
      <xdr:colOff>22257</xdr:colOff>
      <xdr:row>24</xdr:row>
      <xdr:rowOff>59765</xdr:rowOff>
    </xdr:from>
    <xdr:to>
      <xdr:col>67</xdr:col>
      <xdr:colOff>52295</xdr:colOff>
      <xdr:row>24</xdr:row>
      <xdr:rowOff>84919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F20C7058-400E-417F-92AD-C6E510612FE3}"/>
            </a:ext>
          </a:extLst>
        </xdr:cNvPr>
        <xdr:cNvCxnSpPr/>
      </xdr:nvCxnSpPr>
      <xdr:spPr>
        <a:xfrm flipV="1">
          <a:off x="4143407" y="5412815"/>
          <a:ext cx="6888038" cy="25154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70</xdr:col>
      <xdr:colOff>87066</xdr:colOff>
      <xdr:row>22</xdr:row>
      <xdr:rowOff>81643</xdr:rowOff>
    </xdr:from>
    <xdr:to>
      <xdr:col>98</xdr:col>
      <xdr:colOff>108857</xdr:colOff>
      <xdr:row>22</xdr:row>
      <xdr:rowOff>91310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A1225754-D598-4F95-8CF4-C3224177A131}"/>
            </a:ext>
          </a:extLst>
        </xdr:cNvPr>
        <xdr:cNvCxnSpPr/>
      </xdr:nvCxnSpPr>
      <xdr:spPr>
        <a:xfrm flipV="1">
          <a:off x="12306280" y="5207000"/>
          <a:ext cx="3323791" cy="9667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7</xdr:col>
      <xdr:colOff>0</xdr:colOff>
      <xdr:row>22</xdr:row>
      <xdr:rowOff>119529</xdr:rowOff>
    </xdr:from>
    <xdr:to>
      <xdr:col>65</xdr:col>
      <xdr:colOff>82177</xdr:colOff>
      <xdr:row>22</xdr:row>
      <xdr:rowOff>127000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934956AF-5A45-45D0-8EC1-5D09C222CE80}"/>
            </a:ext>
          </a:extLst>
        </xdr:cNvPr>
        <xdr:cNvCxnSpPr/>
      </xdr:nvCxnSpPr>
      <xdr:spPr>
        <a:xfrm flipV="1">
          <a:off x="4121150" y="5085229"/>
          <a:ext cx="6711577" cy="7471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70</xdr:col>
      <xdr:colOff>38954</xdr:colOff>
      <xdr:row>19</xdr:row>
      <xdr:rowOff>127000</xdr:rowOff>
    </xdr:from>
    <xdr:to>
      <xdr:col>93</xdr:col>
      <xdr:colOff>9072</xdr:colOff>
      <xdr:row>19</xdr:row>
      <xdr:rowOff>137663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41A1656B-8C98-4E36-A1CB-CD11B97F0C2C}"/>
            </a:ext>
          </a:extLst>
        </xdr:cNvPr>
        <xdr:cNvCxnSpPr/>
      </xdr:nvCxnSpPr>
      <xdr:spPr>
        <a:xfrm flipV="1">
          <a:off x="12258168" y="4699000"/>
          <a:ext cx="2682475" cy="10663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70</xdr:col>
      <xdr:colOff>22257</xdr:colOff>
      <xdr:row>24</xdr:row>
      <xdr:rowOff>84919</xdr:rowOff>
    </xdr:from>
    <xdr:to>
      <xdr:col>129</xdr:col>
      <xdr:colOff>97118</xdr:colOff>
      <xdr:row>24</xdr:row>
      <xdr:rowOff>89647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DE10B739-54D1-4572-85BC-1808CC1A097F}"/>
            </a:ext>
          </a:extLst>
        </xdr:cNvPr>
        <xdr:cNvCxnSpPr/>
      </xdr:nvCxnSpPr>
      <xdr:spPr>
        <a:xfrm>
          <a:off x="12023757" y="5437969"/>
          <a:ext cx="6818561" cy="4728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38848</xdr:colOff>
      <xdr:row>19</xdr:row>
      <xdr:rowOff>86015</xdr:rowOff>
    </xdr:from>
    <xdr:to>
      <xdr:col>34</xdr:col>
      <xdr:colOff>97118</xdr:colOff>
      <xdr:row>19</xdr:row>
      <xdr:rowOff>89647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3E4BB59C-CE13-4A15-A302-30BCC4885D36}"/>
            </a:ext>
          </a:extLst>
        </xdr:cNvPr>
        <xdr:cNvCxnSpPr/>
      </xdr:nvCxnSpPr>
      <xdr:spPr>
        <a:xfrm>
          <a:off x="4162613" y="4695368"/>
          <a:ext cx="3083858" cy="3632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7</xdr:col>
      <xdr:colOff>22257</xdr:colOff>
      <xdr:row>23</xdr:row>
      <xdr:rowOff>67235</xdr:rowOff>
    </xdr:from>
    <xdr:to>
      <xdr:col>66</xdr:col>
      <xdr:colOff>14941</xdr:colOff>
      <xdr:row>23</xdr:row>
      <xdr:rowOff>84919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25F4BDD7-EFE1-4A06-94D3-B7A0AF08D945}"/>
            </a:ext>
          </a:extLst>
        </xdr:cNvPr>
        <xdr:cNvCxnSpPr/>
      </xdr:nvCxnSpPr>
      <xdr:spPr>
        <a:xfrm flipV="1">
          <a:off x="4146022" y="5446059"/>
          <a:ext cx="6604154" cy="17684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69</xdr:col>
      <xdr:colOff>370948</xdr:colOff>
      <xdr:row>21</xdr:row>
      <xdr:rowOff>104588</xdr:rowOff>
    </xdr:from>
    <xdr:to>
      <xdr:col>99</xdr:col>
      <xdr:colOff>0</xdr:colOff>
      <xdr:row>21</xdr:row>
      <xdr:rowOff>106252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E60D2108-A98C-464E-A91A-17EBC8BB060A}"/>
            </a:ext>
          </a:extLst>
        </xdr:cNvPr>
        <xdr:cNvCxnSpPr/>
      </xdr:nvCxnSpPr>
      <xdr:spPr>
        <a:xfrm flipV="1">
          <a:off x="11860713" y="5094941"/>
          <a:ext cx="3259758" cy="1664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7</xdr:col>
      <xdr:colOff>0</xdr:colOff>
      <xdr:row>21</xdr:row>
      <xdr:rowOff>127001</xdr:rowOff>
    </xdr:from>
    <xdr:to>
      <xdr:col>66</xdr:col>
      <xdr:colOff>104589</xdr:colOff>
      <xdr:row>21</xdr:row>
      <xdr:rowOff>141941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FE426B8E-4877-4743-95DC-388F10295672}"/>
            </a:ext>
          </a:extLst>
        </xdr:cNvPr>
        <xdr:cNvCxnSpPr/>
      </xdr:nvCxnSpPr>
      <xdr:spPr>
        <a:xfrm>
          <a:off x="4123765" y="5117354"/>
          <a:ext cx="6716059" cy="14940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70</xdr:col>
      <xdr:colOff>24012</xdr:colOff>
      <xdr:row>19</xdr:row>
      <xdr:rowOff>89647</xdr:rowOff>
    </xdr:from>
    <xdr:to>
      <xdr:col>98</xdr:col>
      <xdr:colOff>7470</xdr:colOff>
      <xdr:row>19</xdr:row>
      <xdr:rowOff>100311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E1B91D02-FF18-4B44-B06C-5446AA9DF9B3}"/>
            </a:ext>
          </a:extLst>
        </xdr:cNvPr>
        <xdr:cNvCxnSpPr/>
      </xdr:nvCxnSpPr>
      <xdr:spPr>
        <a:xfrm flipV="1">
          <a:off x="11894777" y="4699000"/>
          <a:ext cx="3121105" cy="10664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70</xdr:col>
      <xdr:colOff>22257</xdr:colOff>
      <xdr:row>23</xdr:row>
      <xdr:rowOff>84919</xdr:rowOff>
    </xdr:from>
    <xdr:to>
      <xdr:col>129</xdr:col>
      <xdr:colOff>97118</xdr:colOff>
      <xdr:row>23</xdr:row>
      <xdr:rowOff>89647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8D8153FA-0939-48A3-8EFA-24CB8B667C61}"/>
            </a:ext>
          </a:extLst>
        </xdr:cNvPr>
        <xdr:cNvCxnSpPr/>
      </xdr:nvCxnSpPr>
      <xdr:spPr>
        <a:xfrm>
          <a:off x="12023757" y="5622119"/>
          <a:ext cx="6818561" cy="4728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23907</xdr:colOff>
      <xdr:row>19</xdr:row>
      <xdr:rowOff>93485</xdr:rowOff>
    </xdr:from>
    <xdr:to>
      <xdr:col>32</xdr:col>
      <xdr:colOff>22412</xdr:colOff>
      <xdr:row>19</xdr:row>
      <xdr:rowOff>97118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3919279E-2222-404F-9D33-458619680B9D}"/>
            </a:ext>
          </a:extLst>
        </xdr:cNvPr>
        <xdr:cNvCxnSpPr/>
      </xdr:nvCxnSpPr>
      <xdr:spPr>
        <a:xfrm>
          <a:off x="4142336" y="4665485"/>
          <a:ext cx="2946719" cy="3633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7</xdr:col>
      <xdr:colOff>22257</xdr:colOff>
      <xdr:row>23</xdr:row>
      <xdr:rowOff>67235</xdr:rowOff>
    </xdr:from>
    <xdr:to>
      <xdr:col>66</xdr:col>
      <xdr:colOff>14941</xdr:colOff>
      <xdr:row>23</xdr:row>
      <xdr:rowOff>84919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B6D78F42-395D-4B90-996D-12BE7F44104B}"/>
            </a:ext>
          </a:extLst>
        </xdr:cNvPr>
        <xdr:cNvCxnSpPr/>
      </xdr:nvCxnSpPr>
      <xdr:spPr>
        <a:xfrm flipV="1">
          <a:off x="4143407" y="5420285"/>
          <a:ext cx="6736384" cy="17684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70</xdr:col>
      <xdr:colOff>49714</xdr:colOff>
      <xdr:row>21</xdr:row>
      <xdr:rowOff>97117</xdr:rowOff>
    </xdr:from>
    <xdr:to>
      <xdr:col>99</xdr:col>
      <xdr:colOff>59766</xdr:colOff>
      <xdr:row>21</xdr:row>
      <xdr:rowOff>98781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8E1869C5-9274-420B-9F3B-3B2F11EC194C}"/>
            </a:ext>
          </a:extLst>
        </xdr:cNvPr>
        <xdr:cNvCxnSpPr/>
      </xdr:nvCxnSpPr>
      <xdr:spPr>
        <a:xfrm flipV="1">
          <a:off x="11920479" y="5087470"/>
          <a:ext cx="3259758" cy="1664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7</xdr:col>
      <xdr:colOff>0</xdr:colOff>
      <xdr:row>21</xdr:row>
      <xdr:rowOff>90717</xdr:rowOff>
    </xdr:from>
    <xdr:to>
      <xdr:col>66</xdr:col>
      <xdr:colOff>104589</xdr:colOff>
      <xdr:row>21</xdr:row>
      <xdr:rowOff>105657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01CD8A62-668E-4880-95A6-EB171FDBD9A7}"/>
            </a:ext>
          </a:extLst>
        </xdr:cNvPr>
        <xdr:cNvCxnSpPr/>
      </xdr:nvCxnSpPr>
      <xdr:spPr>
        <a:xfrm>
          <a:off x="4118429" y="5034646"/>
          <a:ext cx="7062374" cy="14940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70</xdr:col>
      <xdr:colOff>9070</xdr:colOff>
      <xdr:row>19</xdr:row>
      <xdr:rowOff>127000</xdr:rowOff>
    </xdr:from>
    <xdr:to>
      <xdr:col>95</xdr:col>
      <xdr:colOff>22412</xdr:colOff>
      <xdr:row>19</xdr:row>
      <xdr:rowOff>130193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728B4215-C9E3-44F2-884E-E06BB8342E23}"/>
            </a:ext>
          </a:extLst>
        </xdr:cNvPr>
        <xdr:cNvCxnSpPr/>
      </xdr:nvCxnSpPr>
      <xdr:spPr>
        <a:xfrm flipV="1">
          <a:off x="11879835" y="4736353"/>
          <a:ext cx="2814812" cy="3193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70</xdr:col>
      <xdr:colOff>22257</xdr:colOff>
      <xdr:row>23</xdr:row>
      <xdr:rowOff>84919</xdr:rowOff>
    </xdr:from>
    <xdr:to>
      <xdr:col>129</xdr:col>
      <xdr:colOff>97118</xdr:colOff>
      <xdr:row>23</xdr:row>
      <xdr:rowOff>89647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267B10E6-BDFE-4328-A5BE-71925C92D149}"/>
            </a:ext>
          </a:extLst>
        </xdr:cNvPr>
        <xdr:cNvCxnSpPr/>
      </xdr:nvCxnSpPr>
      <xdr:spPr>
        <a:xfrm>
          <a:off x="12023757" y="5437969"/>
          <a:ext cx="6818561" cy="4728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2"/>
  <sheetViews>
    <sheetView tabSelected="1" zoomScale="70" zoomScaleNormal="70" workbookViewId="0">
      <selection activeCell="B2" sqref="B2:F2"/>
    </sheetView>
  </sheetViews>
  <sheetFormatPr baseColWidth="10" defaultRowHeight="13" x14ac:dyDescent="0.3"/>
  <cols>
    <col min="1" max="1" width="0.81640625" style="1" customWidth="1"/>
    <col min="2" max="2" width="34.08984375" style="1" customWidth="1"/>
    <col min="3" max="3" width="23.54296875" style="1" customWidth="1"/>
    <col min="4" max="4" width="22" style="1" customWidth="1"/>
    <col min="5" max="5" width="17.1796875" style="1" customWidth="1"/>
    <col min="6" max="6" width="21.7265625" style="1" customWidth="1"/>
    <col min="7" max="7" width="17.90625" style="1" customWidth="1"/>
    <col min="8" max="8" width="9.7265625" style="1" customWidth="1"/>
    <col min="9" max="9" width="5.54296875" style="1" customWidth="1"/>
    <col min="10" max="10" width="10.453125" style="1" hidden="1" customWidth="1"/>
    <col min="11" max="11" width="7" style="1" hidden="1" customWidth="1"/>
    <col min="12" max="12" width="14.453125" style="1" hidden="1" customWidth="1"/>
    <col min="13" max="13" width="13.453125" style="1" hidden="1" customWidth="1"/>
    <col min="14" max="14" width="4.453125" style="1" hidden="1" customWidth="1"/>
    <col min="15" max="15" width="13.1796875" style="6" customWidth="1"/>
    <col min="16" max="16" width="11.453125" style="6" customWidth="1"/>
    <col min="17" max="17" width="2.54296875" style="1" customWidth="1"/>
    <col min="18" max="18" width="14.54296875" style="1" customWidth="1"/>
    <col min="19" max="19" width="15.453125" style="1" customWidth="1"/>
    <col min="20" max="20" width="13.54296875" style="1" customWidth="1"/>
    <col min="21" max="21" width="11.81640625" style="6" customWidth="1"/>
    <col min="22" max="22" width="7.54296875" style="6" customWidth="1"/>
    <col min="23" max="257" width="11.453125" style="1"/>
    <col min="258" max="258" width="20.26953125" style="1" customWidth="1"/>
    <col min="259" max="259" width="21.7265625" style="1" customWidth="1"/>
    <col min="260" max="260" width="22" style="1" customWidth="1"/>
    <col min="261" max="261" width="17.1796875" style="1" customWidth="1"/>
    <col min="262" max="262" width="21.453125" style="1" customWidth="1"/>
    <col min="263" max="263" width="19.54296875" style="1" customWidth="1"/>
    <col min="264" max="264" width="14.1796875" style="1" bestFit="1" customWidth="1"/>
    <col min="265" max="265" width="8.453125" style="1" customWidth="1"/>
    <col min="266" max="266" width="14.453125" style="1" bestFit="1" customWidth="1"/>
    <col min="267" max="267" width="4.453125" style="1" customWidth="1"/>
    <col min="268" max="268" width="14.453125" style="1" bestFit="1" customWidth="1"/>
    <col min="269" max="269" width="13.453125" style="1" customWidth="1"/>
    <col min="270" max="270" width="14.7265625" style="1" bestFit="1" customWidth="1"/>
    <col min="271" max="271" width="14.26953125" style="1" bestFit="1" customWidth="1"/>
    <col min="272" max="272" width="14.26953125" style="1" customWidth="1"/>
    <col min="273" max="273" width="14" style="1" bestFit="1" customWidth="1"/>
    <col min="274" max="274" width="11.54296875" style="1" bestFit="1" customWidth="1"/>
    <col min="275" max="275" width="13.81640625" style="1" bestFit="1" customWidth="1"/>
    <col min="276" max="513" width="11.453125" style="1"/>
    <col min="514" max="514" width="20.26953125" style="1" customWidth="1"/>
    <col min="515" max="515" width="21.7265625" style="1" customWidth="1"/>
    <col min="516" max="516" width="22" style="1" customWidth="1"/>
    <col min="517" max="517" width="17.1796875" style="1" customWidth="1"/>
    <col min="518" max="518" width="21.453125" style="1" customWidth="1"/>
    <col min="519" max="519" width="19.54296875" style="1" customWidth="1"/>
    <col min="520" max="520" width="14.1796875" style="1" bestFit="1" customWidth="1"/>
    <col min="521" max="521" width="8.453125" style="1" customWidth="1"/>
    <col min="522" max="522" width="14.453125" style="1" bestFit="1" customWidth="1"/>
    <col min="523" max="523" width="4.453125" style="1" customWidth="1"/>
    <col min="524" max="524" width="14.453125" style="1" bestFit="1" customWidth="1"/>
    <col min="525" max="525" width="13.453125" style="1" customWidth="1"/>
    <col min="526" max="526" width="14.7265625" style="1" bestFit="1" customWidth="1"/>
    <col min="527" max="527" width="14.26953125" style="1" bestFit="1" customWidth="1"/>
    <col min="528" max="528" width="14.26953125" style="1" customWidth="1"/>
    <col min="529" max="529" width="14" style="1" bestFit="1" customWidth="1"/>
    <col min="530" max="530" width="11.54296875" style="1" bestFit="1" customWidth="1"/>
    <col min="531" max="531" width="13.81640625" style="1" bestFit="1" customWidth="1"/>
    <col min="532" max="769" width="11.453125" style="1"/>
    <col min="770" max="770" width="20.26953125" style="1" customWidth="1"/>
    <col min="771" max="771" width="21.7265625" style="1" customWidth="1"/>
    <col min="772" max="772" width="22" style="1" customWidth="1"/>
    <col min="773" max="773" width="17.1796875" style="1" customWidth="1"/>
    <col min="774" max="774" width="21.453125" style="1" customWidth="1"/>
    <col min="775" max="775" width="19.54296875" style="1" customWidth="1"/>
    <col min="776" max="776" width="14.1796875" style="1" bestFit="1" customWidth="1"/>
    <col min="777" max="777" width="8.453125" style="1" customWidth="1"/>
    <col min="778" max="778" width="14.453125" style="1" bestFit="1" customWidth="1"/>
    <col min="779" max="779" width="4.453125" style="1" customWidth="1"/>
    <col min="780" max="780" width="14.453125" style="1" bestFit="1" customWidth="1"/>
    <col min="781" max="781" width="13.453125" style="1" customWidth="1"/>
    <col min="782" max="782" width="14.7265625" style="1" bestFit="1" customWidth="1"/>
    <col min="783" max="783" width="14.26953125" style="1" bestFit="1" customWidth="1"/>
    <col min="784" max="784" width="14.26953125" style="1" customWidth="1"/>
    <col min="785" max="785" width="14" style="1" bestFit="1" customWidth="1"/>
    <col min="786" max="786" width="11.54296875" style="1" bestFit="1" customWidth="1"/>
    <col min="787" max="787" width="13.81640625" style="1" bestFit="1" customWidth="1"/>
    <col min="788" max="1025" width="11.453125" style="1"/>
    <col min="1026" max="1026" width="20.26953125" style="1" customWidth="1"/>
    <col min="1027" max="1027" width="21.7265625" style="1" customWidth="1"/>
    <col min="1028" max="1028" width="22" style="1" customWidth="1"/>
    <col min="1029" max="1029" width="17.1796875" style="1" customWidth="1"/>
    <col min="1030" max="1030" width="21.453125" style="1" customWidth="1"/>
    <col min="1031" max="1031" width="19.54296875" style="1" customWidth="1"/>
    <col min="1032" max="1032" width="14.1796875" style="1" bestFit="1" customWidth="1"/>
    <col min="1033" max="1033" width="8.453125" style="1" customWidth="1"/>
    <col min="1034" max="1034" width="14.453125" style="1" bestFit="1" customWidth="1"/>
    <col min="1035" max="1035" width="4.453125" style="1" customWidth="1"/>
    <col min="1036" max="1036" width="14.453125" style="1" bestFit="1" customWidth="1"/>
    <col min="1037" max="1037" width="13.453125" style="1" customWidth="1"/>
    <col min="1038" max="1038" width="14.7265625" style="1" bestFit="1" customWidth="1"/>
    <col min="1039" max="1039" width="14.26953125" style="1" bestFit="1" customWidth="1"/>
    <col min="1040" max="1040" width="14.26953125" style="1" customWidth="1"/>
    <col min="1041" max="1041" width="14" style="1" bestFit="1" customWidth="1"/>
    <col min="1042" max="1042" width="11.54296875" style="1" bestFit="1" customWidth="1"/>
    <col min="1043" max="1043" width="13.81640625" style="1" bestFit="1" customWidth="1"/>
    <col min="1044" max="1281" width="11.453125" style="1"/>
    <col min="1282" max="1282" width="20.26953125" style="1" customWidth="1"/>
    <col min="1283" max="1283" width="21.7265625" style="1" customWidth="1"/>
    <col min="1284" max="1284" width="22" style="1" customWidth="1"/>
    <col min="1285" max="1285" width="17.1796875" style="1" customWidth="1"/>
    <col min="1286" max="1286" width="21.453125" style="1" customWidth="1"/>
    <col min="1287" max="1287" width="19.54296875" style="1" customWidth="1"/>
    <col min="1288" max="1288" width="14.1796875" style="1" bestFit="1" customWidth="1"/>
    <col min="1289" max="1289" width="8.453125" style="1" customWidth="1"/>
    <col min="1290" max="1290" width="14.453125" style="1" bestFit="1" customWidth="1"/>
    <col min="1291" max="1291" width="4.453125" style="1" customWidth="1"/>
    <col min="1292" max="1292" width="14.453125" style="1" bestFit="1" customWidth="1"/>
    <col min="1293" max="1293" width="13.453125" style="1" customWidth="1"/>
    <col min="1294" max="1294" width="14.7265625" style="1" bestFit="1" customWidth="1"/>
    <col min="1295" max="1295" width="14.26953125" style="1" bestFit="1" customWidth="1"/>
    <col min="1296" max="1296" width="14.26953125" style="1" customWidth="1"/>
    <col min="1297" max="1297" width="14" style="1" bestFit="1" customWidth="1"/>
    <col min="1298" max="1298" width="11.54296875" style="1" bestFit="1" customWidth="1"/>
    <col min="1299" max="1299" width="13.81640625" style="1" bestFit="1" customWidth="1"/>
    <col min="1300" max="1537" width="11.453125" style="1"/>
    <col min="1538" max="1538" width="20.26953125" style="1" customWidth="1"/>
    <col min="1539" max="1539" width="21.7265625" style="1" customWidth="1"/>
    <col min="1540" max="1540" width="22" style="1" customWidth="1"/>
    <col min="1541" max="1541" width="17.1796875" style="1" customWidth="1"/>
    <col min="1542" max="1542" width="21.453125" style="1" customWidth="1"/>
    <col min="1543" max="1543" width="19.54296875" style="1" customWidth="1"/>
    <col min="1544" max="1544" width="14.1796875" style="1" bestFit="1" customWidth="1"/>
    <col min="1545" max="1545" width="8.453125" style="1" customWidth="1"/>
    <col min="1546" max="1546" width="14.453125" style="1" bestFit="1" customWidth="1"/>
    <col min="1547" max="1547" width="4.453125" style="1" customWidth="1"/>
    <col min="1548" max="1548" width="14.453125" style="1" bestFit="1" customWidth="1"/>
    <col min="1549" max="1549" width="13.453125" style="1" customWidth="1"/>
    <col min="1550" max="1550" width="14.7265625" style="1" bestFit="1" customWidth="1"/>
    <col min="1551" max="1551" width="14.26953125" style="1" bestFit="1" customWidth="1"/>
    <col min="1552" max="1552" width="14.26953125" style="1" customWidth="1"/>
    <col min="1553" max="1553" width="14" style="1" bestFit="1" customWidth="1"/>
    <col min="1554" max="1554" width="11.54296875" style="1" bestFit="1" customWidth="1"/>
    <col min="1555" max="1555" width="13.81640625" style="1" bestFit="1" customWidth="1"/>
    <col min="1556" max="1793" width="11.453125" style="1"/>
    <col min="1794" max="1794" width="20.26953125" style="1" customWidth="1"/>
    <col min="1795" max="1795" width="21.7265625" style="1" customWidth="1"/>
    <col min="1796" max="1796" width="22" style="1" customWidth="1"/>
    <col min="1797" max="1797" width="17.1796875" style="1" customWidth="1"/>
    <col min="1798" max="1798" width="21.453125" style="1" customWidth="1"/>
    <col min="1799" max="1799" width="19.54296875" style="1" customWidth="1"/>
    <col min="1800" max="1800" width="14.1796875" style="1" bestFit="1" customWidth="1"/>
    <col min="1801" max="1801" width="8.453125" style="1" customWidth="1"/>
    <col min="1802" max="1802" width="14.453125" style="1" bestFit="1" customWidth="1"/>
    <col min="1803" max="1803" width="4.453125" style="1" customWidth="1"/>
    <col min="1804" max="1804" width="14.453125" style="1" bestFit="1" customWidth="1"/>
    <col min="1805" max="1805" width="13.453125" style="1" customWidth="1"/>
    <col min="1806" max="1806" width="14.7265625" style="1" bestFit="1" customWidth="1"/>
    <col min="1807" max="1807" width="14.26953125" style="1" bestFit="1" customWidth="1"/>
    <col min="1808" max="1808" width="14.26953125" style="1" customWidth="1"/>
    <col min="1809" max="1809" width="14" style="1" bestFit="1" customWidth="1"/>
    <col min="1810" max="1810" width="11.54296875" style="1" bestFit="1" customWidth="1"/>
    <col min="1811" max="1811" width="13.81640625" style="1" bestFit="1" customWidth="1"/>
    <col min="1812" max="2049" width="11.453125" style="1"/>
    <col min="2050" max="2050" width="20.26953125" style="1" customWidth="1"/>
    <col min="2051" max="2051" width="21.7265625" style="1" customWidth="1"/>
    <col min="2052" max="2052" width="22" style="1" customWidth="1"/>
    <col min="2053" max="2053" width="17.1796875" style="1" customWidth="1"/>
    <col min="2054" max="2054" width="21.453125" style="1" customWidth="1"/>
    <col min="2055" max="2055" width="19.54296875" style="1" customWidth="1"/>
    <col min="2056" max="2056" width="14.1796875" style="1" bestFit="1" customWidth="1"/>
    <col min="2057" max="2057" width="8.453125" style="1" customWidth="1"/>
    <col min="2058" max="2058" width="14.453125" style="1" bestFit="1" customWidth="1"/>
    <col min="2059" max="2059" width="4.453125" style="1" customWidth="1"/>
    <col min="2060" max="2060" width="14.453125" style="1" bestFit="1" customWidth="1"/>
    <col min="2061" max="2061" width="13.453125" style="1" customWidth="1"/>
    <col min="2062" max="2062" width="14.7265625" style="1" bestFit="1" customWidth="1"/>
    <col min="2063" max="2063" width="14.26953125" style="1" bestFit="1" customWidth="1"/>
    <col min="2064" max="2064" width="14.26953125" style="1" customWidth="1"/>
    <col min="2065" max="2065" width="14" style="1" bestFit="1" customWidth="1"/>
    <col min="2066" max="2066" width="11.54296875" style="1" bestFit="1" customWidth="1"/>
    <col min="2067" max="2067" width="13.81640625" style="1" bestFit="1" customWidth="1"/>
    <col min="2068" max="2305" width="11.453125" style="1"/>
    <col min="2306" max="2306" width="20.26953125" style="1" customWidth="1"/>
    <col min="2307" max="2307" width="21.7265625" style="1" customWidth="1"/>
    <col min="2308" max="2308" width="22" style="1" customWidth="1"/>
    <col min="2309" max="2309" width="17.1796875" style="1" customWidth="1"/>
    <col min="2310" max="2310" width="21.453125" style="1" customWidth="1"/>
    <col min="2311" max="2311" width="19.54296875" style="1" customWidth="1"/>
    <col min="2312" max="2312" width="14.1796875" style="1" bestFit="1" customWidth="1"/>
    <col min="2313" max="2313" width="8.453125" style="1" customWidth="1"/>
    <col min="2314" max="2314" width="14.453125" style="1" bestFit="1" customWidth="1"/>
    <col min="2315" max="2315" width="4.453125" style="1" customWidth="1"/>
    <col min="2316" max="2316" width="14.453125" style="1" bestFit="1" customWidth="1"/>
    <col min="2317" max="2317" width="13.453125" style="1" customWidth="1"/>
    <col min="2318" max="2318" width="14.7265625" style="1" bestFit="1" customWidth="1"/>
    <col min="2319" max="2319" width="14.26953125" style="1" bestFit="1" customWidth="1"/>
    <col min="2320" max="2320" width="14.26953125" style="1" customWidth="1"/>
    <col min="2321" max="2321" width="14" style="1" bestFit="1" customWidth="1"/>
    <col min="2322" max="2322" width="11.54296875" style="1" bestFit="1" customWidth="1"/>
    <col min="2323" max="2323" width="13.81640625" style="1" bestFit="1" customWidth="1"/>
    <col min="2324" max="2561" width="11.453125" style="1"/>
    <col min="2562" max="2562" width="20.26953125" style="1" customWidth="1"/>
    <col min="2563" max="2563" width="21.7265625" style="1" customWidth="1"/>
    <col min="2564" max="2564" width="22" style="1" customWidth="1"/>
    <col min="2565" max="2565" width="17.1796875" style="1" customWidth="1"/>
    <col min="2566" max="2566" width="21.453125" style="1" customWidth="1"/>
    <col min="2567" max="2567" width="19.54296875" style="1" customWidth="1"/>
    <col min="2568" max="2568" width="14.1796875" style="1" bestFit="1" customWidth="1"/>
    <col min="2569" max="2569" width="8.453125" style="1" customWidth="1"/>
    <col min="2570" max="2570" width="14.453125" style="1" bestFit="1" customWidth="1"/>
    <col min="2571" max="2571" width="4.453125" style="1" customWidth="1"/>
    <col min="2572" max="2572" width="14.453125" style="1" bestFit="1" customWidth="1"/>
    <col min="2573" max="2573" width="13.453125" style="1" customWidth="1"/>
    <col min="2574" max="2574" width="14.7265625" style="1" bestFit="1" customWidth="1"/>
    <col min="2575" max="2575" width="14.26953125" style="1" bestFit="1" customWidth="1"/>
    <col min="2576" max="2576" width="14.26953125" style="1" customWidth="1"/>
    <col min="2577" max="2577" width="14" style="1" bestFit="1" customWidth="1"/>
    <col min="2578" max="2578" width="11.54296875" style="1" bestFit="1" customWidth="1"/>
    <col min="2579" max="2579" width="13.81640625" style="1" bestFit="1" customWidth="1"/>
    <col min="2580" max="2817" width="11.453125" style="1"/>
    <col min="2818" max="2818" width="20.26953125" style="1" customWidth="1"/>
    <col min="2819" max="2819" width="21.7265625" style="1" customWidth="1"/>
    <col min="2820" max="2820" width="22" style="1" customWidth="1"/>
    <col min="2821" max="2821" width="17.1796875" style="1" customWidth="1"/>
    <col min="2822" max="2822" width="21.453125" style="1" customWidth="1"/>
    <col min="2823" max="2823" width="19.54296875" style="1" customWidth="1"/>
    <col min="2824" max="2824" width="14.1796875" style="1" bestFit="1" customWidth="1"/>
    <col min="2825" max="2825" width="8.453125" style="1" customWidth="1"/>
    <col min="2826" max="2826" width="14.453125" style="1" bestFit="1" customWidth="1"/>
    <col min="2827" max="2827" width="4.453125" style="1" customWidth="1"/>
    <col min="2828" max="2828" width="14.453125" style="1" bestFit="1" customWidth="1"/>
    <col min="2829" max="2829" width="13.453125" style="1" customWidth="1"/>
    <col min="2830" max="2830" width="14.7265625" style="1" bestFit="1" customWidth="1"/>
    <col min="2831" max="2831" width="14.26953125" style="1" bestFit="1" customWidth="1"/>
    <col min="2832" max="2832" width="14.26953125" style="1" customWidth="1"/>
    <col min="2833" max="2833" width="14" style="1" bestFit="1" customWidth="1"/>
    <col min="2834" max="2834" width="11.54296875" style="1" bestFit="1" customWidth="1"/>
    <col min="2835" max="2835" width="13.81640625" style="1" bestFit="1" customWidth="1"/>
    <col min="2836" max="3073" width="11.453125" style="1"/>
    <col min="3074" max="3074" width="20.26953125" style="1" customWidth="1"/>
    <col min="3075" max="3075" width="21.7265625" style="1" customWidth="1"/>
    <col min="3076" max="3076" width="22" style="1" customWidth="1"/>
    <col min="3077" max="3077" width="17.1796875" style="1" customWidth="1"/>
    <col min="3078" max="3078" width="21.453125" style="1" customWidth="1"/>
    <col min="3079" max="3079" width="19.54296875" style="1" customWidth="1"/>
    <col min="3080" max="3080" width="14.1796875" style="1" bestFit="1" customWidth="1"/>
    <col min="3081" max="3081" width="8.453125" style="1" customWidth="1"/>
    <col min="3082" max="3082" width="14.453125" style="1" bestFit="1" customWidth="1"/>
    <col min="3083" max="3083" width="4.453125" style="1" customWidth="1"/>
    <col min="3084" max="3084" width="14.453125" style="1" bestFit="1" customWidth="1"/>
    <col min="3085" max="3085" width="13.453125" style="1" customWidth="1"/>
    <col min="3086" max="3086" width="14.7265625" style="1" bestFit="1" customWidth="1"/>
    <col min="3087" max="3087" width="14.26953125" style="1" bestFit="1" customWidth="1"/>
    <col min="3088" max="3088" width="14.26953125" style="1" customWidth="1"/>
    <col min="3089" max="3089" width="14" style="1" bestFit="1" customWidth="1"/>
    <col min="3090" max="3090" width="11.54296875" style="1" bestFit="1" customWidth="1"/>
    <col min="3091" max="3091" width="13.81640625" style="1" bestFit="1" customWidth="1"/>
    <col min="3092" max="3329" width="11.453125" style="1"/>
    <col min="3330" max="3330" width="20.26953125" style="1" customWidth="1"/>
    <col min="3331" max="3331" width="21.7265625" style="1" customWidth="1"/>
    <col min="3332" max="3332" width="22" style="1" customWidth="1"/>
    <col min="3333" max="3333" width="17.1796875" style="1" customWidth="1"/>
    <col min="3334" max="3334" width="21.453125" style="1" customWidth="1"/>
    <col min="3335" max="3335" width="19.54296875" style="1" customWidth="1"/>
    <col min="3336" max="3336" width="14.1796875" style="1" bestFit="1" customWidth="1"/>
    <col min="3337" max="3337" width="8.453125" style="1" customWidth="1"/>
    <col min="3338" max="3338" width="14.453125" style="1" bestFit="1" customWidth="1"/>
    <col min="3339" max="3339" width="4.453125" style="1" customWidth="1"/>
    <col min="3340" max="3340" width="14.453125" style="1" bestFit="1" customWidth="1"/>
    <col min="3341" max="3341" width="13.453125" style="1" customWidth="1"/>
    <col min="3342" max="3342" width="14.7265625" style="1" bestFit="1" customWidth="1"/>
    <col min="3343" max="3343" width="14.26953125" style="1" bestFit="1" customWidth="1"/>
    <col min="3344" max="3344" width="14.26953125" style="1" customWidth="1"/>
    <col min="3345" max="3345" width="14" style="1" bestFit="1" customWidth="1"/>
    <col min="3346" max="3346" width="11.54296875" style="1" bestFit="1" customWidth="1"/>
    <col min="3347" max="3347" width="13.81640625" style="1" bestFit="1" customWidth="1"/>
    <col min="3348" max="3585" width="11.453125" style="1"/>
    <col min="3586" max="3586" width="20.26953125" style="1" customWidth="1"/>
    <col min="3587" max="3587" width="21.7265625" style="1" customWidth="1"/>
    <col min="3588" max="3588" width="22" style="1" customWidth="1"/>
    <col min="3589" max="3589" width="17.1796875" style="1" customWidth="1"/>
    <col min="3590" max="3590" width="21.453125" style="1" customWidth="1"/>
    <col min="3591" max="3591" width="19.54296875" style="1" customWidth="1"/>
    <col min="3592" max="3592" width="14.1796875" style="1" bestFit="1" customWidth="1"/>
    <col min="3593" max="3593" width="8.453125" style="1" customWidth="1"/>
    <col min="3594" max="3594" width="14.453125" style="1" bestFit="1" customWidth="1"/>
    <col min="3595" max="3595" width="4.453125" style="1" customWidth="1"/>
    <col min="3596" max="3596" width="14.453125" style="1" bestFit="1" customWidth="1"/>
    <col min="3597" max="3597" width="13.453125" style="1" customWidth="1"/>
    <col min="3598" max="3598" width="14.7265625" style="1" bestFit="1" customWidth="1"/>
    <col min="3599" max="3599" width="14.26953125" style="1" bestFit="1" customWidth="1"/>
    <col min="3600" max="3600" width="14.26953125" style="1" customWidth="1"/>
    <col min="3601" max="3601" width="14" style="1" bestFit="1" customWidth="1"/>
    <col min="3602" max="3602" width="11.54296875" style="1" bestFit="1" customWidth="1"/>
    <col min="3603" max="3603" width="13.81640625" style="1" bestFit="1" customWidth="1"/>
    <col min="3604" max="3841" width="11.453125" style="1"/>
    <col min="3842" max="3842" width="20.26953125" style="1" customWidth="1"/>
    <col min="3843" max="3843" width="21.7265625" style="1" customWidth="1"/>
    <col min="3844" max="3844" width="22" style="1" customWidth="1"/>
    <col min="3845" max="3845" width="17.1796875" style="1" customWidth="1"/>
    <col min="3846" max="3846" width="21.453125" style="1" customWidth="1"/>
    <col min="3847" max="3847" width="19.54296875" style="1" customWidth="1"/>
    <col min="3848" max="3848" width="14.1796875" style="1" bestFit="1" customWidth="1"/>
    <col min="3849" max="3849" width="8.453125" style="1" customWidth="1"/>
    <col min="3850" max="3850" width="14.453125" style="1" bestFit="1" customWidth="1"/>
    <col min="3851" max="3851" width="4.453125" style="1" customWidth="1"/>
    <col min="3852" max="3852" width="14.453125" style="1" bestFit="1" customWidth="1"/>
    <col min="3853" max="3853" width="13.453125" style="1" customWidth="1"/>
    <col min="3854" max="3854" width="14.7265625" style="1" bestFit="1" customWidth="1"/>
    <col min="3855" max="3855" width="14.26953125" style="1" bestFit="1" customWidth="1"/>
    <col min="3856" max="3856" width="14.26953125" style="1" customWidth="1"/>
    <col min="3857" max="3857" width="14" style="1" bestFit="1" customWidth="1"/>
    <col min="3858" max="3858" width="11.54296875" style="1" bestFit="1" customWidth="1"/>
    <col min="3859" max="3859" width="13.81640625" style="1" bestFit="1" customWidth="1"/>
    <col min="3860" max="4097" width="11.453125" style="1"/>
    <col min="4098" max="4098" width="20.26953125" style="1" customWidth="1"/>
    <col min="4099" max="4099" width="21.7265625" style="1" customWidth="1"/>
    <col min="4100" max="4100" width="22" style="1" customWidth="1"/>
    <col min="4101" max="4101" width="17.1796875" style="1" customWidth="1"/>
    <col min="4102" max="4102" width="21.453125" style="1" customWidth="1"/>
    <col min="4103" max="4103" width="19.54296875" style="1" customWidth="1"/>
    <col min="4104" max="4104" width="14.1796875" style="1" bestFit="1" customWidth="1"/>
    <col min="4105" max="4105" width="8.453125" style="1" customWidth="1"/>
    <col min="4106" max="4106" width="14.453125" style="1" bestFit="1" customWidth="1"/>
    <col min="4107" max="4107" width="4.453125" style="1" customWidth="1"/>
    <col min="4108" max="4108" width="14.453125" style="1" bestFit="1" customWidth="1"/>
    <col min="4109" max="4109" width="13.453125" style="1" customWidth="1"/>
    <col min="4110" max="4110" width="14.7265625" style="1" bestFit="1" customWidth="1"/>
    <col min="4111" max="4111" width="14.26953125" style="1" bestFit="1" customWidth="1"/>
    <col min="4112" max="4112" width="14.26953125" style="1" customWidth="1"/>
    <col min="4113" max="4113" width="14" style="1" bestFit="1" customWidth="1"/>
    <col min="4114" max="4114" width="11.54296875" style="1" bestFit="1" customWidth="1"/>
    <col min="4115" max="4115" width="13.81640625" style="1" bestFit="1" customWidth="1"/>
    <col min="4116" max="4353" width="11.453125" style="1"/>
    <col min="4354" max="4354" width="20.26953125" style="1" customWidth="1"/>
    <col min="4355" max="4355" width="21.7265625" style="1" customWidth="1"/>
    <col min="4356" max="4356" width="22" style="1" customWidth="1"/>
    <col min="4357" max="4357" width="17.1796875" style="1" customWidth="1"/>
    <col min="4358" max="4358" width="21.453125" style="1" customWidth="1"/>
    <col min="4359" max="4359" width="19.54296875" style="1" customWidth="1"/>
    <col min="4360" max="4360" width="14.1796875" style="1" bestFit="1" customWidth="1"/>
    <col min="4361" max="4361" width="8.453125" style="1" customWidth="1"/>
    <col min="4362" max="4362" width="14.453125" style="1" bestFit="1" customWidth="1"/>
    <col min="4363" max="4363" width="4.453125" style="1" customWidth="1"/>
    <col min="4364" max="4364" width="14.453125" style="1" bestFit="1" customWidth="1"/>
    <col min="4365" max="4365" width="13.453125" style="1" customWidth="1"/>
    <col min="4366" max="4366" width="14.7265625" style="1" bestFit="1" customWidth="1"/>
    <col min="4367" max="4367" width="14.26953125" style="1" bestFit="1" customWidth="1"/>
    <col min="4368" max="4368" width="14.26953125" style="1" customWidth="1"/>
    <col min="4369" max="4369" width="14" style="1" bestFit="1" customWidth="1"/>
    <col min="4370" max="4370" width="11.54296875" style="1" bestFit="1" customWidth="1"/>
    <col min="4371" max="4371" width="13.81640625" style="1" bestFit="1" customWidth="1"/>
    <col min="4372" max="4609" width="11.453125" style="1"/>
    <col min="4610" max="4610" width="20.26953125" style="1" customWidth="1"/>
    <col min="4611" max="4611" width="21.7265625" style="1" customWidth="1"/>
    <col min="4612" max="4612" width="22" style="1" customWidth="1"/>
    <col min="4613" max="4613" width="17.1796875" style="1" customWidth="1"/>
    <col min="4614" max="4614" width="21.453125" style="1" customWidth="1"/>
    <col min="4615" max="4615" width="19.54296875" style="1" customWidth="1"/>
    <col min="4616" max="4616" width="14.1796875" style="1" bestFit="1" customWidth="1"/>
    <col min="4617" max="4617" width="8.453125" style="1" customWidth="1"/>
    <col min="4618" max="4618" width="14.453125" style="1" bestFit="1" customWidth="1"/>
    <col min="4619" max="4619" width="4.453125" style="1" customWidth="1"/>
    <col min="4620" max="4620" width="14.453125" style="1" bestFit="1" customWidth="1"/>
    <col min="4621" max="4621" width="13.453125" style="1" customWidth="1"/>
    <col min="4622" max="4622" width="14.7265625" style="1" bestFit="1" customWidth="1"/>
    <col min="4623" max="4623" width="14.26953125" style="1" bestFit="1" customWidth="1"/>
    <col min="4624" max="4624" width="14.26953125" style="1" customWidth="1"/>
    <col min="4625" max="4625" width="14" style="1" bestFit="1" customWidth="1"/>
    <col min="4626" max="4626" width="11.54296875" style="1" bestFit="1" customWidth="1"/>
    <col min="4627" max="4627" width="13.81640625" style="1" bestFit="1" customWidth="1"/>
    <col min="4628" max="4865" width="11.453125" style="1"/>
    <col min="4866" max="4866" width="20.26953125" style="1" customWidth="1"/>
    <col min="4867" max="4867" width="21.7265625" style="1" customWidth="1"/>
    <col min="4868" max="4868" width="22" style="1" customWidth="1"/>
    <col min="4869" max="4869" width="17.1796875" style="1" customWidth="1"/>
    <col min="4870" max="4870" width="21.453125" style="1" customWidth="1"/>
    <col min="4871" max="4871" width="19.54296875" style="1" customWidth="1"/>
    <col min="4872" max="4872" width="14.1796875" style="1" bestFit="1" customWidth="1"/>
    <col min="4873" max="4873" width="8.453125" style="1" customWidth="1"/>
    <col min="4874" max="4874" width="14.453125" style="1" bestFit="1" customWidth="1"/>
    <col min="4875" max="4875" width="4.453125" style="1" customWidth="1"/>
    <col min="4876" max="4876" width="14.453125" style="1" bestFit="1" customWidth="1"/>
    <col min="4877" max="4877" width="13.453125" style="1" customWidth="1"/>
    <col min="4878" max="4878" width="14.7265625" style="1" bestFit="1" customWidth="1"/>
    <col min="4879" max="4879" width="14.26953125" style="1" bestFit="1" customWidth="1"/>
    <col min="4880" max="4880" width="14.26953125" style="1" customWidth="1"/>
    <col min="4881" max="4881" width="14" style="1" bestFit="1" customWidth="1"/>
    <col min="4882" max="4882" width="11.54296875" style="1" bestFit="1" customWidth="1"/>
    <col min="4883" max="4883" width="13.81640625" style="1" bestFit="1" customWidth="1"/>
    <col min="4884" max="5121" width="11.453125" style="1"/>
    <col min="5122" max="5122" width="20.26953125" style="1" customWidth="1"/>
    <col min="5123" max="5123" width="21.7265625" style="1" customWidth="1"/>
    <col min="5124" max="5124" width="22" style="1" customWidth="1"/>
    <col min="5125" max="5125" width="17.1796875" style="1" customWidth="1"/>
    <col min="5126" max="5126" width="21.453125" style="1" customWidth="1"/>
    <col min="5127" max="5127" width="19.54296875" style="1" customWidth="1"/>
    <col min="5128" max="5128" width="14.1796875" style="1" bestFit="1" customWidth="1"/>
    <col min="5129" max="5129" width="8.453125" style="1" customWidth="1"/>
    <col min="5130" max="5130" width="14.453125" style="1" bestFit="1" customWidth="1"/>
    <col min="5131" max="5131" width="4.453125" style="1" customWidth="1"/>
    <col min="5132" max="5132" width="14.453125" style="1" bestFit="1" customWidth="1"/>
    <col min="5133" max="5133" width="13.453125" style="1" customWidth="1"/>
    <col min="5134" max="5134" width="14.7265625" style="1" bestFit="1" customWidth="1"/>
    <col min="5135" max="5135" width="14.26953125" style="1" bestFit="1" customWidth="1"/>
    <col min="5136" max="5136" width="14.26953125" style="1" customWidth="1"/>
    <col min="5137" max="5137" width="14" style="1" bestFit="1" customWidth="1"/>
    <col min="5138" max="5138" width="11.54296875" style="1" bestFit="1" customWidth="1"/>
    <col min="5139" max="5139" width="13.81640625" style="1" bestFit="1" customWidth="1"/>
    <col min="5140" max="5377" width="11.453125" style="1"/>
    <col min="5378" max="5378" width="20.26953125" style="1" customWidth="1"/>
    <col min="5379" max="5379" width="21.7265625" style="1" customWidth="1"/>
    <col min="5380" max="5380" width="22" style="1" customWidth="1"/>
    <col min="5381" max="5381" width="17.1796875" style="1" customWidth="1"/>
    <col min="5382" max="5382" width="21.453125" style="1" customWidth="1"/>
    <col min="5383" max="5383" width="19.54296875" style="1" customWidth="1"/>
    <col min="5384" max="5384" width="14.1796875" style="1" bestFit="1" customWidth="1"/>
    <col min="5385" max="5385" width="8.453125" style="1" customWidth="1"/>
    <col min="5386" max="5386" width="14.453125" style="1" bestFit="1" customWidth="1"/>
    <col min="5387" max="5387" width="4.453125" style="1" customWidth="1"/>
    <col min="5388" max="5388" width="14.453125" style="1" bestFit="1" customWidth="1"/>
    <col min="5389" max="5389" width="13.453125" style="1" customWidth="1"/>
    <col min="5390" max="5390" width="14.7265625" style="1" bestFit="1" customWidth="1"/>
    <col min="5391" max="5391" width="14.26953125" style="1" bestFit="1" customWidth="1"/>
    <col min="5392" max="5392" width="14.26953125" style="1" customWidth="1"/>
    <col min="5393" max="5393" width="14" style="1" bestFit="1" customWidth="1"/>
    <col min="5394" max="5394" width="11.54296875" style="1" bestFit="1" customWidth="1"/>
    <col min="5395" max="5395" width="13.81640625" style="1" bestFit="1" customWidth="1"/>
    <col min="5396" max="5633" width="11.453125" style="1"/>
    <col min="5634" max="5634" width="20.26953125" style="1" customWidth="1"/>
    <col min="5635" max="5635" width="21.7265625" style="1" customWidth="1"/>
    <col min="5636" max="5636" width="22" style="1" customWidth="1"/>
    <col min="5637" max="5637" width="17.1796875" style="1" customWidth="1"/>
    <col min="5638" max="5638" width="21.453125" style="1" customWidth="1"/>
    <col min="5639" max="5639" width="19.54296875" style="1" customWidth="1"/>
    <col min="5640" max="5640" width="14.1796875" style="1" bestFit="1" customWidth="1"/>
    <col min="5641" max="5641" width="8.453125" style="1" customWidth="1"/>
    <col min="5642" max="5642" width="14.453125" style="1" bestFit="1" customWidth="1"/>
    <col min="5643" max="5643" width="4.453125" style="1" customWidth="1"/>
    <col min="5644" max="5644" width="14.453125" style="1" bestFit="1" customWidth="1"/>
    <col min="5645" max="5645" width="13.453125" style="1" customWidth="1"/>
    <col min="5646" max="5646" width="14.7265625" style="1" bestFit="1" customWidth="1"/>
    <col min="5647" max="5647" width="14.26953125" style="1" bestFit="1" customWidth="1"/>
    <col min="5648" max="5648" width="14.26953125" style="1" customWidth="1"/>
    <col min="5649" max="5649" width="14" style="1" bestFit="1" customWidth="1"/>
    <col min="5650" max="5650" width="11.54296875" style="1" bestFit="1" customWidth="1"/>
    <col min="5651" max="5651" width="13.81640625" style="1" bestFit="1" customWidth="1"/>
    <col min="5652" max="5889" width="11.453125" style="1"/>
    <col min="5890" max="5890" width="20.26953125" style="1" customWidth="1"/>
    <col min="5891" max="5891" width="21.7265625" style="1" customWidth="1"/>
    <col min="5892" max="5892" width="22" style="1" customWidth="1"/>
    <col min="5893" max="5893" width="17.1796875" style="1" customWidth="1"/>
    <col min="5894" max="5894" width="21.453125" style="1" customWidth="1"/>
    <col min="5895" max="5895" width="19.54296875" style="1" customWidth="1"/>
    <col min="5896" max="5896" width="14.1796875" style="1" bestFit="1" customWidth="1"/>
    <col min="5897" max="5897" width="8.453125" style="1" customWidth="1"/>
    <col min="5898" max="5898" width="14.453125" style="1" bestFit="1" customWidth="1"/>
    <col min="5899" max="5899" width="4.453125" style="1" customWidth="1"/>
    <col min="5900" max="5900" width="14.453125" style="1" bestFit="1" customWidth="1"/>
    <col min="5901" max="5901" width="13.453125" style="1" customWidth="1"/>
    <col min="5902" max="5902" width="14.7265625" style="1" bestFit="1" customWidth="1"/>
    <col min="5903" max="5903" width="14.26953125" style="1" bestFit="1" customWidth="1"/>
    <col min="5904" max="5904" width="14.26953125" style="1" customWidth="1"/>
    <col min="5905" max="5905" width="14" style="1" bestFit="1" customWidth="1"/>
    <col min="5906" max="5906" width="11.54296875" style="1" bestFit="1" customWidth="1"/>
    <col min="5907" max="5907" width="13.81640625" style="1" bestFit="1" customWidth="1"/>
    <col min="5908" max="6145" width="11.453125" style="1"/>
    <col min="6146" max="6146" width="20.26953125" style="1" customWidth="1"/>
    <col min="6147" max="6147" width="21.7265625" style="1" customWidth="1"/>
    <col min="6148" max="6148" width="22" style="1" customWidth="1"/>
    <col min="6149" max="6149" width="17.1796875" style="1" customWidth="1"/>
    <col min="6150" max="6150" width="21.453125" style="1" customWidth="1"/>
    <col min="6151" max="6151" width="19.54296875" style="1" customWidth="1"/>
    <col min="6152" max="6152" width="14.1796875" style="1" bestFit="1" customWidth="1"/>
    <col min="6153" max="6153" width="8.453125" style="1" customWidth="1"/>
    <col min="6154" max="6154" width="14.453125" style="1" bestFit="1" customWidth="1"/>
    <col min="6155" max="6155" width="4.453125" style="1" customWidth="1"/>
    <col min="6156" max="6156" width="14.453125" style="1" bestFit="1" customWidth="1"/>
    <col min="6157" max="6157" width="13.453125" style="1" customWidth="1"/>
    <col min="6158" max="6158" width="14.7265625" style="1" bestFit="1" customWidth="1"/>
    <col min="6159" max="6159" width="14.26953125" style="1" bestFit="1" customWidth="1"/>
    <col min="6160" max="6160" width="14.26953125" style="1" customWidth="1"/>
    <col min="6161" max="6161" width="14" style="1" bestFit="1" customWidth="1"/>
    <col min="6162" max="6162" width="11.54296875" style="1" bestFit="1" customWidth="1"/>
    <col min="6163" max="6163" width="13.81640625" style="1" bestFit="1" customWidth="1"/>
    <col min="6164" max="6401" width="11.453125" style="1"/>
    <col min="6402" max="6402" width="20.26953125" style="1" customWidth="1"/>
    <col min="6403" max="6403" width="21.7265625" style="1" customWidth="1"/>
    <col min="6404" max="6404" width="22" style="1" customWidth="1"/>
    <col min="6405" max="6405" width="17.1796875" style="1" customWidth="1"/>
    <col min="6406" max="6406" width="21.453125" style="1" customWidth="1"/>
    <col min="6407" max="6407" width="19.54296875" style="1" customWidth="1"/>
    <col min="6408" max="6408" width="14.1796875" style="1" bestFit="1" customWidth="1"/>
    <col min="6409" max="6409" width="8.453125" style="1" customWidth="1"/>
    <col min="6410" max="6410" width="14.453125" style="1" bestFit="1" customWidth="1"/>
    <col min="6411" max="6411" width="4.453125" style="1" customWidth="1"/>
    <col min="6412" max="6412" width="14.453125" style="1" bestFit="1" customWidth="1"/>
    <col min="6413" max="6413" width="13.453125" style="1" customWidth="1"/>
    <col min="6414" max="6414" width="14.7265625" style="1" bestFit="1" customWidth="1"/>
    <col min="6415" max="6415" width="14.26953125" style="1" bestFit="1" customWidth="1"/>
    <col min="6416" max="6416" width="14.26953125" style="1" customWidth="1"/>
    <col min="6417" max="6417" width="14" style="1" bestFit="1" customWidth="1"/>
    <col min="6418" max="6418" width="11.54296875" style="1" bestFit="1" customWidth="1"/>
    <col min="6419" max="6419" width="13.81640625" style="1" bestFit="1" customWidth="1"/>
    <col min="6420" max="6657" width="11.453125" style="1"/>
    <col min="6658" max="6658" width="20.26953125" style="1" customWidth="1"/>
    <col min="6659" max="6659" width="21.7265625" style="1" customWidth="1"/>
    <col min="6660" max="6660" width="22" style="1" customWidth="1"/>
    <col min="6661" max="6661" width="17.1796875" style="1" customWidth="1"/>
    <col min="6662" max="6662" width="21.453125" style="1" customWidth="1"/>
    <col min="6663" max="6663" width="19.54296875" style="1" customWidth="1"/>
    <col min="6664" max="6664" width="14.1796875" style="1" bestFit="1" customWidth="1"/>
    <col min="6665" max="6665" width="8.453125" style="1" customWidth="1"/>
    <col min="6666" max="6666" width="14.453125" style="1" bestFit="1" customWidth="1"/>
    <col min="6667" max="6667" width="4.453125" style="1" customWidth="1"/>
    <col min="6668" max="6668" width="14.453125" style="1" bestFit="1" customWidth="1"/>
    <col min="6669" max="6669" width="13.453125" style="1" customWidth="1"/>
    <col min="6670" max="6670" width="14.7265625" style="1" bestFit="1" customWidth="1"/>
    <col min="6671" max="6671" width="14.26953125" style="1" bestFit="1" customWidth="1"/>
    <col min="6672" max="6672" width="14.26953125" style="1" customWidth="1"/>
    <col min="6673" max="6673" width="14" style="1" bestFit="1" customWidth="1"/>
    <col min="6674" max="6674" width="11.54296875" style="1" bestFit="1" customWidth="1"/>
    <col min="6675" max="6675" width="13.81640625" style="1" bestFit="1" customWidth="1"/>
    <col min="6676" max="6913" width="11.453125" style="1"/>
    <col min="6914" max="6914" width="20.26953125" style="1" customWidth="1"/>
    <col min="6915" max="6915" width="21.7265625" style="1" customWidth="1"/>
    <col min="6916" max="6916" width="22" style="1" customWidth="1"/>
    <col min="6917" max="6917" width="17.1796875" style="1" customWidth="1"/>
    <col min="6918" max="6918" width="21.453125" style="1" customWidth="1"/>
    <col min="6919" max="6919" width="19.54296875" style="1" customWidth="1"/>
    <col min="6920" max="6920" width="14.1796875" style="1" bestFit="1" customWidth="1"/>
    <col min="6921" max="6921" width="8.453125" style="1" customWidth="1"/>
    <col min="6922" max="6922" width="14.453125" style="1" bestFit="1" customWidth="1"/>
    <col min="6923" max="6923" width="4.453125" style="1" customWidth="1"/>
    <col min="6924" max="6924" width="14.453125" style="1" bestFit="1" customWidth="1"/>
    <col min="6925" max="6925" width="13.453125" style="1" customWidth="1"/>
    <col min="6926" max="6926" width="14.7265625" style="1" bestFit="1" customWidth="1"/>
    <col min="6927" max="6927" width="14.26953125" style="1" bestFit="1" customWidth="1"/>
    <col min="6928" max="6928" width="14.26953125" style="1" customWidth="1"/>
    <col min="6929" max="6929" width="14" style="1" bestFit="1" customWidth="1"/>
    <col min="6930" max="6930" width="11.54296875" style="1" bestFit="1" customWidth="1"/>
    <col min="6931" max="6931" width="13.81640625" style="1" bestFit="1" customWidth="1"/>
    <col min="6932" max="7169" width="11.453125" style="1"/>
    <col min="7170" max="7170" width="20.26953125" style="1" customWidth="1"/>
    <col min="7171" max="7171" width="21.7265625" style="1" customWidth="1"/>
    <col min="7172" max="7172" width="22" style="1" customWidth="1"/>
    <col min="7173" max="7173" width="17.1796875" style="1" customWidth="1"/>
    <col min="7174" max="7174" width="21.453125" style="1" customWidth="1"/>
    <col min="7175" max="7175" width="19.54296875" style="1" customWidth="1"/>
    <col min="7176" max="7176" width="14.1796875" style="1" bestFit="1" customWidth="1"/>
    <col min="7177" max="7177" width="8.453125" style="1" customWidth="1"/>
    <col min="7178" max="7178" width="14.453125" style="1" bestFit="1" customWidth="1"/>
    <col min="7179" max="7179" width="4.453125" style="1" customWidth="1"/>
    <col min="7180" max="7180" width="14.453125" style="1" bestFit="1" customWidth="1"/>
    <col min="7181" max="7181" width="13.453125" style="1" customWidth="1"/>
    <col min="7182" max="7182" width="14.7265625" style="1" bestFit="1" customWidth="1"/>
    <col min="7183" max="7183" width="14.26953125" style="1" bestFit="1" customWidth="1"/>
    <col min="7184" max="7184" width="14.26953125" style="1" customWidth="1"/>
    <col min="7185" max="7185" width="14" style="1" bestFit="1" customWidth="1"/>
    <col min="7186" max="7186" width="11.54296875" style="1" bestFit="1" customWidth="1"/>
    <col min="7187" max="7187" width="13.81640625" style="1" bestFit="1" customWidth="1"/>
    <col min="7188" max="7425" width="11.453125" style="1"/>
    <col min="7426" max="7426" width="20.26953125" style="1" customWidth="1"/>
    <col min="7427" max="7427" width="21.7265625" style="1" customWidth="1"/>
    <col min="7428" max="7428" width="22" style="1" customWidth="1"/>
    <col min="7429" max="7429" width="17.1796875" style="1" customWidth="1"/>
    <col min="7430" max="7430" width="21.453125" style="1" customWidth="1"/>
    <col min="7431" max="7431" width="19.54296875" style="1" customWidth="1"/>
    <col min="7432" max="7432" width="14.1796875" style="1" bestFit="1" customWidth="1"/>
    <col min="7433" max="7433" width="8.453125" style="1" customWidth="1"/>
    <col min="7434" max="7434" width="14.453125" style="1" bestFit="1" customWidth="1"/>
    <col min="7435" max="7435" width="4.453125" style="1" customWidth="1"/>
    <col min="7436" max="7436" width="14.453125" style="1" bestFit="1" customWidth="1"/>
    <col min="7437" max="7437" width="13.453125" style="1" customWidth="1"/>
    <col min="7438" max="7438" width="14.7265625" style="1" bestFit="1" customWidth="1"/>
    <col min="7439" max="7439" width="14.26953125" style="1" bestFit="1" customWidth="1"/>
    <col min="7440" max="7440" width="14.26953125" style="1" customWidth="1"/>
    <col min="7441" max="7441" width="14" style="1" bestFit="1" customWidth="1"/>
    <col min="7442" max="7442" width="11.54296875" style="1" bestFit="1" customWidth="1"/>
    <col min="7443" max="7443" width="13.81640625" style="1" bestFit="1" customWidth="1"/>
    <col min="7444" max="7681" width="11.453125" style="1"/>
    <col min="7682" max="7682" width="20.26953125" style="1" customWidth="1"/>
    <col min="7683" max="7683" width="21.7265625" style="1" customWidth="1"/>
    <col min="7684" max="7684" width="22" style="1" customWidth="1"/>
    <col min="7685" max="7685" width="17.1796875" style="1" customWidth="1"/>
    <col min="7686" max="7686" width="21.453125" style="1" customWidth="1"/>
    <col min="7687" max="7687" width="19.54296875" style="1" customWidth="1"/>
    <col min="7688" max="7688" width="14.1796875" style="1" bestFit="1" customWidth="1"/>
    <col min="7689" max="7689" width="8.453125" style="1" customWidth="1"/>
    <col min="7690" max="7690" width="14.453125" style="1" bestFit="1" customWidth="1"/>
    <col min="7691" max="7691" width="4.453125" style="1" customWidth="1"/>
    <col min="7692" max="7692" width="14.453125" style="1" bestFit="1" customWidth="1"/>
    <col min="7693" max="7693" width="13.453125" style="1" customWidth="1"/>
    <col min="7694" max="7694" width="14.7265625" style="1" bestFit="1" customWidth="1"/>
    <col min="7695" max="7695" width="14.26953125" style="1" bestFit="1" customWidth="1"/>
    <col min="7696" max="7696" width="14.26953125" style="1" customWidth="1"/>
    <col min="7697" max="7697" width="14" style="1" bestFit="1" customWidth="1"/>
    <col min="7698" max="7698" width="11.54296875" style="1" bestFit="1" customWidth="1"/>
    <col min="7699" max="7699" width="13.81640625" style="1" bestFit="1" customWidth="1"/>
    <col min="7700" max="7937" width="11.453125" style="1"/>
    <col min="7938" max="7938" width="20.26953125" style="1" customWidth="1"/>
    <col min="7939" max="7939" width="21.7265625" style="1" customWidth="1"/>
    <col min="7940" max="7940" width="22" style="1" customWidth="1"/>
    <col min="7941" max="7941" width="17.1796875" style="1" customWidth="1"/>
    <col min="7942" max="7942" width="21.453125" style="1" customWidth="1"/>
    <col min="7943" max="7943" width="19.54296875" style="1" customWidth="1"/>
    <col min="7944" max="7944" width="14.1796875" style="1" bestFit="1" customWidth="1"/>
    <col min="7945" max="7945" width="8.453125" style="1" customWidth="1"/>
    <col min="7946" max="7946" width="14.453125" style="1" bestFit="1" customWidth="1"/>
    <col min="7947" max="7947" width="4.453125" style="1" customWidth="1"/>
    <col min="7948" max="7948" width="14.453125" style="1" bestFit="1" customWidth="1"/>
    <col min="7949" max="7949" width="13.453125" style="1" customWidth="1"/>
    <col min="7950" max="7950" width="14.7265625" style="1" bestFit="1" customWidth="1"/>
    <col min="7951" max="7951" width="14.26953125" style="1" bestFit="1" customWidth="1"/>
    <col min="7952" max="7952" width="14.26953125" style="1" customWidth="1"/>
    <col min="7953" max="7953" width="14" style="1" bestFit="1" customWidth="1"/>
    <col min="7954" max="7954" width="11.54296875" style="1" bestFit="1" customWidth="1"/>
    <col min="7955" max="7955" width="13.81640625" style="1" bestFit="1" customWidth="1"/>
    <col min="7956" max="8193" width="11.453125" style="1"/>
    <col min="8194" max="8194" width="20.26953125" style="1" customWidth="1"/>
    <col min="8195" max="8195" width="21.7265625" style="1" customWidth="1"/>
    <col min="8196" max="8196" width="22" style="1" customWidth="1"/>
    <col min="8197" max="8197" width="17.1796875" style="1" customWidth="1"/>
    <col min="8198" max="8198" width="21.453125" style="1" customWidth="1"/>
    <col min="8199" max="8199" width="19.54296875" style="1" customWidth="1"/>
    <col min="8200" max="8200" width="14.1796875" style="1" bestFit="1" customWidth="1"/>
    <col min="8201" max="8201" width="8.453125" style="1" customWidth="1"/>
    <col min="8202" max="8202" width="14.453125" style="1" bestFit="1" customWidth="1"/>
    <col min="8203" max="8203" width="4.453125" style="1" customWidth="1"/>
    <col min="8204" max="8204" width="14.453125" style="1" bestFit="1" customWidth="1"/>
    <col min="8205" max="8205" width="13.453125" style="1" customWidth="1"/>
    <col min="8206" max="8206" width="14.7265625" style="1" bestFit="1" customWidth="1"/>
    <col min="8207" max="8207" width="14.26953125" style="1" bestFit="1" customWidth="1"/>
    <col min="8208" max="8208" width="14.26953125" style="1" customWidth="1"/>
    <col min="8209" max="8209" width="14" style="1" bestFit="1" customWidth="1"/>
    <col min="8210" max="8210" width="11.54296875" style="1" bestFit="1" customWidth="1"/>
    <col min="8211" max="8211" width="13.81640625" style="1" bestFit="1" customWidth="1"/>
    <col min="8212" max="8449" width="11.453125" style="1"/>
    <col min="8450" max="8450" width="20.26953125" style="1" customWidth="1"/>
    <col min="8451" max="8451" width="21.7265625" style="1" customWidth="1"/>
    <col min="8452" max="8452" width="22" style="1" customWidth="1"/>
    <col min="8453" max="8453" width="17.1796875" style="1" customWidth="1"/>
    <col min="8454" max="8454" width="21.453125" style="1" customWidth="1"/>
    <col min="8455" max="8455" width="19.54296875" style="1" customWidth="1"/>
    <col min="8456" max="8456" width="14.1796875" style="1" bestFit="1" customWidth="1"/>
    <col min="8457" max="8457" width="8.453125" style="1" customWidth="1"/>
    <col min="8458" max="8458" width="14.453125" style="1" bestFit="1" customWidth="1"/>
    <col min="8459" max="8459" width="4.453125" style="1" customWidth="1"/>
    <col min="8460" max="8460" width="14.453125" style="1" bestFit="1" customWidth="1"/>
    <col min="8461" max="8461" width="13.453125" style="1" customWidth="1"/>
    <col min="8462" max="8462" width="14.7265625" style="1" bestFit="1" customWidth="1"/>
    <col min="8463" max="8463" width="14.26953125" style="1" bestFit="1" customWidth="1"/>
    <col min="8464" max="8464" width="14.26953125" style="1" customWidth="1"/>
    <col min="8465" max="8465" width="14" style="1" bestFit="1" customWidth="1"/>
    <col min="8466" max="8466" width="11.54296875" style="1" bestFit="1" customWidth="1"/>
    <col min="8467" max="8467" width="13.81640625" style="1" bestFit="1" customWidth="1"/>
    <col min="8468" max="8705" width="11.453125" style="1"/>
    <col min="8706" max="8706" width="20.26953125" style="1" customWidth="1"/>
    <col min="8707" max="8707" width="21.7265625" style="1" customWidth="1"/>
    <col min="8708" max="8708" width="22" style="1" customWidth="1"/>
    <col min="8709" max="8709" width="17.1796875" style="1" customWidth="1"/>
    <col min="8710" max="8710" width="21.453125" style="1" customWidth="1"/>
    <col min="8711" max="8711" width="19.54296875" style="1" customWidth="1"/>
    <col min="8712" max="8712" width="14.1796875" style="1" bestFit="1" customWidth="1"/>
    <col min="8713" max="8713" width="8.453125" style="1" customWidth="1"/>
    <col min="8714" max="8714" width="14.453125" style="1" bestFit="1" customWidth="1"/>
    <col min="8715" max="8715" width="4.453125" style="1" customWidth="1"/>
    <col min="8716" max="8716" width="14.453125" style="1" bestFit="1" customWidth="1"/>
    <col min="8717" max="8717" width="13.453125" style="1" customWidth="1"/>
    <col min="8718" max="8718" width="14.7265625" style="1" bestFit="1" customWidth="1"/>
    <col min="8719" max="8719" width="14.26953125" style="1" bestFit="1" customWidth="1"/>
    <col min="8720" max="8720" width="14.26953125" style="1" customWidth="1"/>
    <col min="8721" max="8721" width="14" style="1" bestFit="1" customWidth="1"/>
    <col min="8722" max="8722" width="11.54296875" style="1" bestFit="1" customWidth="1"/>
    <col min="8723" max="8723" width="13.81640625" style="1" bestFit="1" customWidth="1"/>
    <col min="8724" max="8961" width="11.453125" style="1"/>
    <col min="8962" max="8962" width="20.26953125" style="1" customWidth="1"/>
    <col min="8963" max="8963" width="21.7265625" style="1" customWidth="1"/>
    <col min="8964" max="8964" width="22" style="1" customWidth="1"/>
    <col min="8965" max="8965" width="17.1796875" style="1" customWidth="1"/>
    <col min="8966" max="8966" width="21.453125" style="1" customWidth="1"/>
    <col min="8967" max="8967" width="19.54296875" style="1" customWidth="1"/>
    <col min="8968" max="8968" width="14.1796875" style="1" bestFit="1" customWidth="1"/>
    <col min="8969" max="8969" width="8.453125" style="1" customWidth="1"/>
    <col min="8970" max="8970" width="14.453125" style="1" bestFit="1" customWidth="1"/>
    <col min="8971" max="8971" width="4.453125" style="1" customWidth="1"/>
    <col min="8972" max="8972" width="14.453125" style="1" bestFit="1" customWidth="1"/>
    <col min="8973" max="8973" width="13.453125" style="1" customWidth="1"/>
    <col min="8974" max="8974" width="14.7265625" style="1" bestFit="1" customWidth="1"/>
    <col min="8975" max="8975" width="14.26953125" style="1" bestFit="1" customWidth="1"/>
    <col min="8976" max="8976" width="14.26953125" style="1" customWidth="1"/>
    <col min="8977" max="8977" width="14" style="1" bestFit="1" customWidth="1"/>
    <col min="8978" max="8978" width="11.54296875" style="1" bestFit="1" customWidth="1"/>
    <col min="8979" max="8979" width="13.81640625" style="1" bestFit="1" customWidth="1"/>
    <col min="8980" max="9217" width="11.453125" style="1"/>
    <col min="9218" max="9218" width="20.26953125" style="1" customWidth="1"/>
    <col min="9219" max="9219" width="21.7265625" style="1" customWidth="1"/>
    <col min="9220" max="9220" width="22" style="1" customWidth="1"/>
    <col min="9221" max="9221" width="17.1796875" style="1" customWidth="1"/>
    <col min="9222" max="9222" width="21.453125" style="1" customWidth="1"/>
    <col min="9223" max="9223" width="19.54296875" style="1" customWidth="1"/>
    <col min="9224" max="9224" width="14.1796875" style="1" bestFit="1" customWidth="1"/>
    <col min="9225" max="9225" width="8.453125" style="1" customWidth="1"/>
    <col min="9226" max="9226" width="14.453125" style="1" bestFit="1" customWidth="1"/>
    <col min="9227" max="9227" width="4.453125" style="1" customWidth="1"/>
    <col min="9228" max="9228" width="14.453125" style="1" bestFit="1" customWidth="1"/>
    <col min="9229" max="9229" width="13.453125" style="1" customWidth="1"/>
    <col min="9230" max="9230" width="14.7265625" style="1" bestFit="1" customWidth="1"/>
    <col min="9231" max="9231" width="14.26953125" style="1" bestFit="1" customWidth="1"/>
    <col min="9232" max="9232" width="14.26953125" style="1" customWidth="1"/>
    <col min="9233" max="9233" width="14" style="1" bestFit="1" customWidth="1"/>
    <col min="9234" max="9234" width="11.54296875" style="1" bestFit="1" customWidth="1"/>
    <col min="9235" max="9235" width="13.81640625" style="1" bestFit="1" customWidth="1"/>
    <col min="9236" max="9473" width="11.453125" style="1"/>
    <col min="9474" max="9474" width="20.26953125" style="1" customWidth="1"/>
    <col min="9475" max="9475" width="21.7265625" style="1" customWidth="1"/>
    <col min="9476" max="9476" width="22" style="1" customWidth="1"/>
    <col min="9477" max="9477" width="17.1796875" style="1" customWidth="1"/>
    <col min="9478" max="9478" width="21.453125" style="1" customWidth="1"/>
    <col min="9479" max="9479" width="19.54296875" style="1" customWidth="1"/>
    <col min="9480" max="9480" width="14.1796875" style="1" bestFit="1" customWidth="1"/>
    <col min="9481" max="9481" width="8.453125" style="1" customWidth="1"/>
    <col min="9482" max="9482" width="14.453125" style="1" bestFit="1" customWidth="1"/>
    <col min="9483" max="9483" width="4.453125" style="1" customWidth="1"/>
    <col min="9484" max="9484" width="14.453125" style="1" bestFit="1" customWidth="1"/>
    <col min="9485" max="9485" width="13.453125" style="1" customWidth="1"/>
    <col min="9486" max="9486" width="14.7265625" style="1" bestFit="1" customWidth="1"/>
    <col min="9487" max="9487" width="14.26953125" style="1" bestFit="1" customWidth="1"/>
    <col min="9488" max="9488" width="14.26953125" style="1" customWidth="1"/>
    <col min="9489" max="9489" width="14" style="1" bestFit="1" customWidth="1"/>
    <col min="9490" max="9490" width="11.54296875" style="1" bestFit="1" customWidth="1"/>
    <col min="9491" max="9491" width="13.81640625" style="1" bestFit="1" customWidth="1"/>
    <col min="9492" max="9729" width="11.453125" style="1"/>
    <col min="9730" max="9730" width="20.26953125" style="1" customWidth="1"/>
    <col min="9731" max="9731" width="21.7265625" style="1" customWidth="1"/>
    <col min="9732" max="9732" width="22" style="1" customWidth="1"/>
    <col min="9733" max="9733" width="17.1796875" style="1" customWidth="1"/>
    <col min="9734" max="9734" width="21.453125" style="1" customWidth="1"/>
    <col min="9735" max="9735" width="19.54296875" style="1" customWidth="1"/>
    <col min="9736" max="9736" width="14.1796875" style="1" bestFit="1" customWidth="1"/>
    <col min="9737" max="9737" width="8.453125" style="1" customWidth="1"/>
    <col min="9738" max="9738" width="14.453125" style="1" bestFit="1" customWidth="1"/>
    <col min="9739" max="9739" width="4.453125" style="1" customWidth="1"/>
    <col min="9740" max="9740" width="14.453125" style="1" bestFit="1" customWidth="1"/>
    <col min="9741" max="9741" width="13.453125" style="1" customWidth="1"/>
    <col min="9742" max="9742" width="14.7265625" style="1" bestFit="1" customWidth="1"/>
    <col min="9743" max="9743" width="14.26953125" style="1" bestFit="1" customWidth="1"/>
    <col min="9744" max="9744" width="14.26953125" style="1" customWidth="1"/>
    <col min="9745" max="9745" width="14" style="1" bestFit="1" customWidth="1"/>
    <col min="9746" max="9746" width="11.54296875" style="1" bestFit="1" customWidth="1"/>
    <col min="9747" max="9747" width="13.81640625" style="1" bestFit="1" customWidth="1"/>
    <col min="9748" max="9985" width="11.453125" style="1"/>
    <col min="9986" max="9986" width="20.26953125" style="1" customWidth="1"/>
    <col min="9987" max="9987" width="21.7265625" style="1" customWidth="1"/>
    <col min="9988" max="9988" width="22" style="1" customWidth="1"/>
    <col min="9989" max="9989" width="17.1796875" style="1" customWidth="1"/>
    <col min="9990" max="9990" width="21.453125" style="1" customWidth="1"/>
    <col min="9991" max="9991" width="19.54296875" style="1" customWidth="1"/>
    <col min="9992" max="9992" width="14.1796875" style="1" bestFit="1" customWidth="1"/>
    <col min="9993" max="9993" width="8.453125" style="1" customWidth="1"/>
    <col min="9994" max="9994" width="14.453125" style="1" bestFit="1" customWidth="1"/>
    <col min="9995" max="9995" width="4.453125" style="1" customWidth="1"/>
    <col min="9996" max="9996" width="14.453125" style="1" bestFit="1" customWidth="1"/>
    <col min="9997" max="9997" width="13.453125" style="1" customWidth="1"/>
    <col min="9998" max="9998" width="14.7265625" style="1" bestFit="1" customWidth="1"/>
    <col min="9999" max="9999" width="14.26953125" style="1" bestFit="1" customWidth="1"/>
    <col min="10000" max="10000" width="14.26953125" style="1" customWidth="1"/>
    <col min="10001" max="10001" width="14" style="1" bestFit="1" customWidth="1"/>
    <col min="10002" max="10002" width="11.54296875" style="1" bestFit="1" customWidth="1"/>
    <col min="10003" max="10003" width="13.81640625" style="1" bestFit="1" customWidth="1"/>
    <col min="10004" max="10241" width="11.453125" style="1"/>
    <col min="10242" max="10242" width="20.26953125" style="1" customWidth="1"/>
    <col min="10243" max="10243" width="21.7265625" style="1" customWidth="1"/>
    <col min="10244" max="10244" width="22" style="1" customWidth="1"/>
    <col min="10245" max="10245" width="17.1796875" style="1" customWidth="1"/>
    <col min="10246" max="10246" width="21.453125" style="1" customWidth="1"/>
    <col min="10247" max="10247" width="19.54296875" style="1" customWidth="1"/>
    <col min="10248" max="10248" width="14.1796875" style="1" bestFit="1" customWidth="1"/>
    <col min="10249" max="10249" width="8.453125" style="1" customWidth="1"/>
    <col min="10250" max="10250" width="14.453125" style="1" bestFit="1" customWidth="1"/>
    <col min="10251" max="10251" width="4.453125" style="1" customWidth="1"/>
    <col min="10252" max="10252" width="14.453125" style="1" bestFit="1" customWidth="1"/>
    <col min="10253" max="10253" width="13.453125" style="1" customWidth="1"/>
    <col min="10254" max="10254" width="14.7265625" style="1" bestFit="1" customWidth="1"/>
    <col min="10255" max="10255" width="14.26953125" style="1" bestFit="1" customWidth="1"/>
    <col min="10256" max="10256" width="14.26953125" style="1" customWidth="1"/>
    <col min="10257" max="10257" width="14" style="1" bestFit="1" customWidth="1"/>
    <col min="10258" max="10258" width="11.54296875" style="1" bestFit="1" customWidth="1"/>
    <col min="10259" max="10259" width="13.81640625" style="1" bestFit="1" customWidth="1"/>
    <col min="10260" max="10497" width="11.453125" style="1"/>
    <col min="10498" max="10498" width="20.26953125" style="1" customWidth="1"/>
    <col min="10499" max="10499" width="21.7265625" style="1" customWidth="1"/>
    <col min="10500" max="10500" width="22" style="1" customWidth="1"/>
    <col min="10501" max="10501" width="17.1796875" style="1" customWidth="1"/>
    <col min="10502" max="10502" width="21.453125" style="1" customWidth="1"/>
    <col min="10503" max="10503" width="19.54296875" style="1" customWidth="1"/>
    <col min="10504" max="10504" width="14.1796875" style="1" bestFit="1" customWidth="1"/>
    <col min="10505" max="10505" width="8.453125" style="1" customWidth="1"/>
    <col min="10506" max="10506" width="14.453125" style="1" bestFit="1" customWidth="1"/>
    <col min="10507" max="10507" width="4.453125" style="1" customWidth="1"/>
    <col min="10508" max="10508" width="14.453125" style="1" bestFit="1" customWidth="1"/>
    <col min="10509" max="10509" width="13.453125" style="1" customWidth="1"/>
    <col min="10510" max="10510" width="14.7265625" style="1" bestFit="1" customWidth="1"/>
    <col min="10511" max="10511" width="14.26953125" style="1" bestFit="1" customWidth="1"/>
    <col min="10512" max="10512" width="14.26953125" style="1" customWidth="1"/>
    <col min="10513" max="10513" width="14" style="1" bestFit="1" customWidth="1"/>
    <col min="10514" max="10514" width="11.54296875" style="1" bestFit="1" customWidth="1"/>
    <col min="10515" max="10515" width="13.81640625" style="1" bestFit="1" customWidth="1"/>
    <col min="10516" max="10753" width="11.453125" style="1"/>
    <col min="10754" max="10754" width="20.26953125" style="1" customWidth="1"/>
    <col min="10755" max="10755" width="21.7265625" style="1" customWidth="1"/>
    <col min="10756" max="10756" width="22" style="1" customWidth="1"/>
    <col min="10757" max="10757" width="17.1796875" style="1" customWidth="1"/>
    <col min="10758" max="10758" width="21.453125" style="1" customWidth="1"/>
    <col min="10759" max="10759" width="19.54296875" style="1" customWidth="1"/>
    <col min="10760" max="10760" width="14.1796875" style="1" bestFit="1" customWidth="1"/>
    <col min="10761" max="10761" width="8.453125" style="1" customWidth="1"/>
    <col min="10762" max="10762" width="14.453125" style="1" bestFit="1" customWidth="1"/>
    <col min="10763" max="10763" width="4.453125" style="1" customWidth="1"/>
    <col min="10764" max="10764" width="14.453125" style="1" bestFit="1" customWidth="1"/>
    <col min="10765" max="10765" width="13.453125" style="1" customWidth="1"/>
    <col min="10766" max="10766" width="14.7265625" style="1" bestFit="1" customWidth="1"/>
    <col min="10767" max="10767" width="14.26953125" style="1" bestFit="1" customWidth="1"/>
    <col min="10768" max="10768" width="14.26953125" style="1" customWidth="1"/>
    <col min="10769" max="10769" width="14" style="1" bestFit="1" customWidth="1"/>
    <col min="10770" max="10770" width="11.54296875" style="1" bestFit="1" customWidth="1"/>
    <col min="10771" max="10771" width="13.81640625" style="1" bestFit="1" customWidth="1"/>
    <col min="10772" max="11009" width="11.453125" style="1"/>
    <col min="11010" max="11010" width="20.26953125" style="1" customWidth="1"/>
    <col min="11011" max="11011" width="21.7265625" style="1" customWidth="1"/>
    <col min="11012" max="11012" width="22" style="1" customWidth="1"/>
    <col min="11013" max="11013" width="17.1796875" style="1" customWidth="1"/>
    <col min="11014" max="11014" width="21.453125" style="1" customWidth="1"/>
    <col min="11015" max="11015" width="19.54296875" style="1" customWidth="1"/>
    <col min="11016" max="11016" width="14.1796875" style="1" bestFit="1" customWidth="1"/>
    <col min="11017" max="11017" width="8.453125" style="1" customWidth="1"/>
    <col min="11018" max="11018" width="14.453125" style="1" bestFit="1" customWidth="1"/>
    <col min="11019" max="11019" width="4.453125" style="1" customWidth="1"/>
    <col min="11020" max="11020" width="14.453125" style="1" bestFit="1" customWidth="1"/>
    <col min="11021" max="11021" width="13.453125" style="1" customWidth="1"/>
    <col min="11022" max="11022" width="14.7265625" style="1" bestFit="1" customWidth="1"/>
    <col min="11023" max="11023" width="14.26953125" style="1" bestFit="1" customWidth="1"/>
    <col min="11024" max="11024" width="14.26953125" style="1" customWidth="1"/>
    <col min="11025" max="11025" width="14" style="1" bestFit="1" customWidth="1"/>
    <col min="11026" max="11026" width="11.54296875" style="1" bestFit="1" customWidth="1"/>
    <col min="11027" max="11027" width="13.81640625" style="1" bestFit="1" customWidth="1"/>
    <col min="11028" max="11265" width="11.453125" style="1"/>
    <col min="11266" max="11266" width="20.26953125" style="1" customWidth="1"/>
    <col min="11267" max="11267" width="21.7265625" style="1" customWidth="1"/>
    <col min="11268" max="11268" width="22" style="1" customWidth="1"/>
    <col min="11269" max="11269" width="17.1796875" style="1" customWidth="1"/>
    <col min="11270" max="11270" width="21.453125" style="1" customWidth="1"/>
    <col min="11271" max="11271" width="19.54296875" style="1" customWidth="1"/>
    <col min="11272" max="11272" width="14.1796875" style="1" bestFit="1" customWidth="1"/>
    <col min="11273" max="11273" width="8.453125" style="1" customWidth="1"/>
    <col min="11274" max="11274" width="14.453125" style="1" bestFit="1" customWidth="1"/>
    <col min="11275" max="11275" width="4.453125" style="1" customWidth="1"/>
    <col min="11276" max="11276" width="14.453125" style="1" bestFit="1" customWidth="1"/>
    <col min="11277" max="11277" width="13.453125" style="1" customWidth="1"/>
    <col min="11278" max="11278" width="14.7265625" style="1" bestFit="1" customWidth="1"/>
    <col min="11279" max="11279" width="14.26953125" style="1" bestFit="1" customWidth="1"/>
    <col min="11280" max="11280" width="14.26953125" style="1" customWidth="1"/>
    <col min="11281" max="11281" width="14" style="1" bestFit="1" customWidth="1"/>
    <col min="11282" max="11282" width="11.54296875" style="1" bestFit="1" customWidth="1"/>
    <col min="11283" max="11283" width="13.81640625" style="1" bestFit="1" customWidth="1"/>
    <col min="11284" max="11521" width="11.453125" style="1"/>
    <col min="11522" max="11522" width="20.26953125" style="1" customWidth="1"/>
    <col min="11523" max="11523" width="21.7265625" style="1" customWidth="1"/>
    <col min="11524" max="11524" width="22" style="1" customWidth="1"/>
    <col min="11525" max="11525" width="17.1796875" style="1" customWidth="1"/>
    <col min="11526" max="11526" width="21.453125" style="1" customWidth="1"/>
    <col min="11527" max="11527" width="19.54296875" style="1" customWidth="1"/>
    <col min="11528" max="11528" width="14.1796875" style="1" bestFit="1" customWidth="1"/>
    <col min="11529" max="11529" width="8.453125" style="1" customWidth="1"/>
    <col min="11530" max="11530" width="14.453125" style="1" bestFit="1" customWidth="1"/>
    <col min="11531" max="11531" width="4.453125" style="1" customWidth="1"/>
    <col min="11532" max="11532" width="14.453125" style="1" bestFit="1" customWidth="1"/>
    <col min="11533" max="11533" width="13.453125" style="1" customWidth="1"/>
    <col min="11534" max="11534" width="14.7265625" style="1" bestFit="1" customWidth="1"/>
    <col min="11535" max="11535" width="14.26953125" style="1" bestFit="1" customWidth="1"/>
    <col min="11536" max="11536" width="14.26953125" style="1" customWidth="1"/>
    <col min="11537" max="11537" width="14" style="1" bestFit="1" customWidth="1"/>
    <col min="11538" max="11538" width="11.54296875" style="1" bestFit="1" customWidth="1"/>
    <col min="11539" max="11539" width="13.81640625" style="1" bestFit="1" customWidth="1"/>
    <col min="11540" max="11777" width="11.453125" style="1"/>
    <col min="11778" max="11778" width="20.26953125" style="1" customWidth="1"/>
    <col min="11779" max="11779" width="21.7265625" style="1" customWidth="1"/>
    <col min="11780" max="11780" width="22" style="1" customWidth="1"/>
    <col min="11781" max="11781" width="17.1796875" style="1" customWidth="1"/>
    <col min="11782" max="11782" width="21.453125" style="1" customWidth="1"/>
    <col min="11783" max="11783" width="19.54296875" style="1" customWidth="1"/>
    <col min="11784" max="11784" width="14.1796875" style="1" bestFit="1" customWidth="1"/>
    <col min="11785" max="11785" width="8.453125" style="1" customWidth="1"/>
    <col min="11786" max="11786" width="14.453125" style="1" bestFit="1" customWidth="1"/>
    <col min="11787" max="11787" width="4.453125" style="1" customWidth="1"/>
    <col min="11788" max="11788" width="14.453125" style="1" bestFit="1" customWidth="1"/>
    <col min="11789" max="11789" width="13.453125" style="1" customWidth="1"/>
    <col min="11790" max="11790" width="14.7265625" style="1" bestFit="1" customWidth="1"/>
    <col min="11791" max="11791" width="14.26953125" style="1" bestFit="1" customWidth="1"/>
    <col min="11792" max="11792" width="14.26953125" style="1" customWidth="1"/>
    <col min="11793" max="11793" width="14" style="1" bestFit="1" customWidth="1"/>
    <col min="11794" max="11794" width="11.54296875" style="1" bestFit="1" customWidth="1"/>
    <col min="11795" max="11795" width="13.81640625" style="1" bestFit="1" customWidth="1"/>
    <col min="11796" max="12033" width="11.453125" style="1"/>
    <col min="12034" max="12034" width="20.26953125" style="1" customWidth="1"/>
    <col min="12035" max="12035" width="21.7265625" style="1" customWidth="1"/>
    <col min="12036" max="12036" width="22" style="1" customWidth="1"/>
    <col min="12037" max="12037" width="17.1796875" style="1" customWidth="1"/>
    <col min="12038" max="12038" width="21.453125" style="1" customWidth="1"/>
    <col min="12039" max="12039" width="19.54296875" style="1" customWidth="1"/>
    <col min="12040" max="12040" width="14.1796875" style="1" bestFit="1" customWidth="1"/>
    <col min="12041" max="12041" width="8.453125" style="1" customWidth="1"/>
    <col min="12042" max="12042" width="14.453125" style="1" bestFit="1" customWidth="1"/>
    <col min="12043" max="12043" width="4.453125" style="1" customWidth="1"/>
    <col min="12044" max="12044" width="14.453125" style="1" bestFit="1" customWidth="1"/>
    <col min="12045" max="12045" width="13.453125" style="1" customWidth="1"/>
    <col min="12046" max="12046" width="14.7265625" style="1" bestFit="1" customWidth="1"/>
    <col min="12047" max="12047" width="14.26953125" style="1" bestFit="1" customWidth="1"/>
    <col min="12048" max="12048" width="14.26953125" style="1" customWidth="1"/>
    <col min="12049" max="12049" width="14" style="1" bestFit="1" customWidth="1"/>
    <col min="12050" max="12050" width="11.54296875" style="1" bestFit="1" customWidth="1"/>
    <col min="12051" max="12051" width="13.81640625" style="1" bestFit="1" customWidth="1"/>
    <col min="12052" max="12289" width="11.453125" style="1"/>
    <col min="12290" max="12290" width="20.26953125" style="1" customWidth="1"/>
    <col min="12291" max="12291" width="21.7265625" style="1" customWidth="1"/>
    <col min="12292" max="12292" width="22" style="1" customWidth="1"/>
    <col min="12293" max="12293" width="17.1796875" style="1" customWidth="1"/>
    <col min="12294" max="12294" width="21.453125" style="1" customWidth="1"/>
    <col min="12295" max="12295" width="19.54296875" style="1" customWidth="1"/>
    <col min="12296" max="12296" width="14.1796875" style="1" bestFit="1" customWidth="1"/>
    <col min="12297" max="12297" width="8.453125" style="1" customWidth="1"/>
    <col min="12298" max="12298" width="14.453125" style="1" bestFit="1" customWidth="1"/>
    <col min="12299" max="12299" width="4.453125" style="1" customWidth="1"/>
    <col min="12300" max="12300" width="14.453125" style="1" bestFit="1" customWidth="1"/>
    <col min="12301" max="12301" width="13.453125" style="1" customWidth="1"/>
    <col min="12302" max="12302" width="14.7265625" style="1" bestFit="1" customWidth="1"/>
    <col min="12303" max="12303" width="14.26953125" style="1" bestFit="1" customWidth="1"/>
    <col min="12304" max="12304" width="14.26953125" style="1" customWidth="1"/>
    <col min="12305" max="12305" width="14" style="1" bestFit="1" customWidth="1"/>
    <col min="12306" max="12306" width="11.54296875" style="1" bestFit="1" customWidth="1"/>
    <col min="12307" max="12307" width="13.81640625" style="1" bestFit="1" customWidth="1"/>
    <col min="12308" max="12545" width="11.453125" style="1"/>
    <col min="12546" max="12546" width="20.26953125" style="1" customWidth="1"/>
    <col min="12547" max="12547" width="21.7265625" style="1" customWidth="1"/>
    <col min="12548" max="12548" width="22" style="1" customWidth="1"/>
    <col min="12549" max="12549" width="17.1796875" style="1" customWidth="1"/>
    <col min="12550" max="12550" width="21.453125" style="1" customWidth="1"/>
    <col min="12551" max="12551" width="19.54296875" style="1" customWidth="1"/>
    <col min="12552" max="12552" width="14.1796875" style="1" bestFit="1" customWidth="1"/>
    <col min="12553" max="12553" width="8.453125" style="1" customWidth="1"/>
    <col min="12554" max="12554" width="14.453125" style="1" bestFit="1" customWidth="1"/>
    <col min="12555" max="12555" width="4.453125" style="1" customWidth="1"/>
    <col min="12556" max="12556" width="14.453125" style="1" bestFit="1" customWidth="1"/>
    <col min="12557" max="12557" width="13.453125" style="1" customWidth="1"/>
    <col min="12558" max="12558" width="14.7265625" style="1" bestFit="1" customWidth="1"/>
    <col min="12559" max="12559" width="14.26953125" style="1" bestFit="1" customWidth="1"/>
    <col min="12560" max="12560" width="14.26953125" style="1" customWidth="1"/>
    <col min="12561" max="12561" width="14" style="1" bestFit="1" customWidth="1"/>
    <col min="12562" max="12562" width="11.54296875" style="1" bestFit="1" customWidth="1"/>
    <col min="12563" max="12563" width="13.81640625" style="1" bestFit="1" customWidth="1"/>
    <col min="12564" max="12801" width="11.453125" style="1"/>
    <col min="12802" max="12802" width="20.26953125" style="1" customWidth="1"/>
    <col min="12803" max="12803" width="21.7265625" style="1" customWidth="1"/>
    <col min="12804" max="12804" width="22" style="1" customWidth="1"/>
    <col min="12805" max="12805" width="17.1796875" style="1" customWidth="1"/>
    <col min="12806" max="12806" width="21.453125" style="1" customWidth="1"/>
    <col min="12807" max="12807" width="19.54296875" style="1" customWidth="1"/>
    <col min="12808" max="12808" width="14.1796875" style="1" bestFit="1" customWidth="1"/>
    <col min="12809" max="12809" width="8.453125" style="1" customWidth="1"/>
    <col min="12810" max="12810" width="14.453125" style="1" bestFit="1" customWidth="1"/>
    <col min="12811" max="12811" width="4.453125" style="1" customWidth="1"/>
    <col min="12812" max="12812" width="14.453125" style="1" bestFit="1" customWidth="1"/>
    <col min="12813" max="12813" width="13.453125" style="1" customWidth="1"/>
    <col min="12814" max="12814" width="14.7265625" style="1" bestFit="1" customWidth="1"/>
    <col min="12815" max="12815" width="14.26953125" style="1" bestFit="1" customWidth="1"/>
    <col min="12816" max="12816" width="14.26953125" style="1" customWidth="1"/>
    <col min="12817" max="12817" width="14" style="1" bestFit="1" customWidth="1"/>
    <col min="12818" max="12818" width="11.54296875" style="1" bestFit="1" customWidth="1"/>
    <col min="12819" max="12819" width="13.81640625" style="1" bestFit="1" customWidth="1"/>
    <col min="12820" max="13057" width="11.453125" style="1"/>
    <col min="13058" max="13058" width="20.26953125" style="1" customWidth="1"/>
    <col min="13059" max="13059" width="21.7265625" style="1" customWidth="1"/>
    <col min="13060" max="13060" width="22" style="1" customWidth="1"/>
    <col min="13061" max="13061" width="17.1796875" style="1" customWidth="1"/>
    <col min="13062" max="13062" width="21.453125" style="1" customWidth="1"/>
    <col min="13063" max="13063" width="19.54296875" style="1" customWidth="1"/>
    <col min="13064" max="13064" width="14.1796875" style="1" bestFit="1" customWidth="1"/>
    <col min="13065" max="13065" width="8.453125" style="1" customWidth="1"/>
    <col min="13066" max="13066" width="14.453125" style="1" bestFit="1" customWidth="1"/>
    <col min="13067" max="13067" width="4.453125" style="1" customWidth="1"/>
    <col min="13068" max="13068" width="14.453125" style="1" bestFit="1" customWidth="1"/>
    <col min="13069" max="13069" width="13.453125" style="1" customWidth="1"/>
    <col min="13070" max="13070" width="14.7265625" style="1" bestFit="1" customWidth="1"/>
    <col min="13071" max="13071" width="14.26953125" style="1" bestFit="1" customWidth="1"/>
    <col min="13072" max="13072" width="14.26953125" style="1" customWidth="1"/>
    <col min="13073" max="13073" width="14" style="1" bestFit="1" customWidth="1"/>
    <col min="13074" max="13074" width="11.54296875" style="1" bestFit="1" customWidth="1"/>
    <col min="13075" max="13075" width="13.81640625" style="1" bestFit="1" customWidth="1"/>
    <col min="13076" max="13313" width="11.453125" style="1"/>
    <col min="13314" max="13314" width="20.26953125" style="1" customWidth="1"/>
    <col min="13315" max="13315" width="21.7265625" style="1" customWidth="1"/>
    <col min="13316" max="13316" width="22" style="1" customWidth="1"/>
    <col min="13317" max="13317" width="17.1796875" style="1" customWidth="1"/>
    <col min="13318" max="13318" width="21.453125" style="1" customWidth="1"/>
    <col min="13319" max="13319" width="19.54296875" style="1" customWidth="1"/>
    <col min="13320" max="13320" width="14.1796875" style="1" bestFit="1" customWidth="1"/>
    <col min="13321" max="13321" width="8.453125" style="1" customWidth="1"/>
    <col min="13322" max="13322" width="14.453125" style="1" bestFit="1" customWidth="1"/>
    <col min="13323" max="13323" width="4.453125" style="1" customWidth="1"/>
    <col min="13324" max="13324" width="14.453125" style="1" bestFit="1" customWidth="1"/>
    <col min="13325" max="13325" width="13.453125" style="1" customWidth="1"/>
    <col min="13326" max="13326" width="14.7265625" style="1" bestFit="1" customWidth="1"/>
    <col min="13327" max="13327" width="14.26953125" style="1" bestFit="1" customWidth="1"/>
    <col min="13328" max="13328" width="14.26953125" style="1" customWidth="1"/>
    <col min="13329" max="13329" width="14" style="1" bestFit="1" customWidth="1"/>
    <col min="13330" max="13330" width="11.54296875" style="1" bestFit="1" customWidth="1"/>
    <col min="13331" max="13331" width="13.81640625" style="1" bestFit="1" customWidth="1"/>
    <col min="13332" max="13569" width="11.453125" style="1"/>
    <col min="13570" max="13570" width="20.26953125" style="1" customWidth="1"/>
    <col min="13571" max="13571" width="21.7265625" style="1" customWidth="1"/>
    <col min="13572" max="13572" width="22" style="1" customWidth="1"/>
    <col min="13573" max="13573" width="17.1796875" style="1" customWidth="1"/>
    <col min="13574" max="13574" width="21.453125" style="1" customWidth="1"/>
    <col min="13575" max="13575" width="19.54296875" style="1" customWidth="1"/>
    <col min="13576" max="13576" width="14.1796875" style="1" bestFit="1" customWidth="1"/>
    <col min="13577" max="13577" width="8.453125" style="1" customWidth="1"/>
    <col min="13578" max="13578" width="14.453125" style="1" bestFit="1" customWidth="1"/>
    <col min="13579" max="13579" width="4.453125" style="1" customWidth="1"/>
    <col min="13580" max="13580" width="14.453125" style="1" bestFit="1" customWidth="1"/>
    <col min="13581" max="13581" width="13.453125" style="1" customWidth="1"/>
    <col min="13582" max="13582" width="14.7265625" style="1" bestFit="1" customWidth="1"/>
    <col min="13583" max="13583" width="14.26953125" style="1" bestFit="1" customWidth="1"/>
    <col min="13584" max="13584" width="14.26953125" style="1" customWidth="1"/>
    <col min="13585" max="13585" width="14" style="1" bestFit="1" customWidth="1"/>
    <col min="13586" max="13586" width="11.54296875" style="1" bestFit="1" customWidth="1"/>
    <col min="13587" max="13587" width="13.81640625" style="1" bestFit="1" customWidth="1"/>
    <col min="13588" max="13825" width="11.453125" style="1"/>
    <col min="13826" max="13826" width="20.26953125" style="1" customWidth="1"/>
    <col min="13827" max="13827" width="21.7265625" style="1" customWidth="1"/>
    <col min="13828" max="13828" width="22" style="1" customWidth="1"/>
    <col min="13829" max="13829" width="17.1796875" style="1" customWidth="1"/>
    <col min="13830" max="13830" width="21.453125" style="1" customWidth="1"/>
    <col min="13831" max="13831" width="19.54296875" style="1" customWidth="1"/>
    <col min="13832" max="13832" width="14.1796875" style="1" bestFit="1" customWidth="1"/>
    <col min="13833" max="13833" width="8.453125" style="1" customWidth="1"/>
    <col min="13834" max="13834" width="14.453125" style="1" bestFit="1" customWidth="1"/>
    <col min="13835" max="13835" width="4.453125" style="1" customWidth="1"/>
    <col min="13836" max="13836" width="14.453125" style="1" bestFit="1" customWidth="1"/>
    <col min="13837" max="13837" width="13.453125" style="1" customWidth="1"/>
    <col min="13838" max="13838" width="14.7265625" style="1" bestFit="1" customWidth="1"/>
    <col min="13839" max="13839" width="14.26953125" style="1" bestFit="1" customWidth="1"/>
    <col min="13840" max="13840" width="14.26953125" style="1" customWidth="1"/>
    <col min="13841" max="13841" width="14" style="1" bestFit="1" customWidth="1"/>
    <col min="13842" max="13842" width="11.54296875" style="1" bestFit="1" customWidth="1"/>
    <col min="13843" max="13843" width="13.81640625" style="1" bestFit="1" customWidth="1"/>
    <col min="13844" max="14081" width="11.453125" style="1"/>
    <col min="14082" max="14082" width="20.26953125" style="1" customWidth="1"/>
    <col min="14083" max="14083" width="21.7265625" style="1" customWidth="1"/>
    <col min="14084" max="14084" width="22" style="1" customWidth="1"/>
    <col min="14085" max="14085" width="17.1796875" style="1" customWidth="1"/>
    <col min="14086" max="14086" width="21.453125" style="1" customWidth="1"/>
    <col min="14087" max="14087" width="19.54296875" style="1" customWidth="1"/>
    <col min="14088" max="14088" width="14.1796875" style="1" bestFit="1" customWidth="1"/>
    <col min="14089" max="14089" width="8.453125" style="1" customWidth="1"/>
    <col min="14090" max="14090" width="14.453125" style="1" bestFit="1" customWidth="1"/>
    <col min="14091" max="14091" width="4.453125" style="1" customWidth="1"/>
    <col min="14092" max="14092" width="14.453125" style="1" bestFit="1" customWidth="1"/>
    <col min="14093" max="14093" width="13.453125" style="1" customWidth="1"/>
    <col min="14094" max="14094" width="14.7265625" style="1" bestFit="1" customWidth="1"/>
    <col min="14095" max="14095" width="14.26953125" style="1" bestFit="1" customWidth="1"/>
    <col min="14096" max="14096" width="14.26953125" style="1" customWidth="1"/>
    <col min="14097" max="14097" width="14" style="1" bestFit="1" customWidth="1"/>
    <col min="14098" max="14098" width="11.54296875" style="1" bestFit="1" customWidth="1"/>
    <col min="14099" max="14099" width="13.81640625" style="1" bestFit="1" customWidth="1"/>
    <col min="14100" max="14337" width="11.453125" style="1"/>
    <col min="14338" max="14338" width="20.26953125" style="1" customWidth="1"/>
    <col min="14339" max="14339" width="21.7265625" style="1" customWidth="1"/>
    <col min="14340" max="14340" width="22" style="1" customWidth="1"/>
    <col min="14341" max="14341" width="17.1796875" style="1" customWidth="1"/>
    <col min="14342" max="14342" width="21.453125" style="1" customWidth="1"/>
    <col min="14343" max="14343" width="19.54296875" style="1" customWidth="1"/>
    <col min="14344" max="14344" width="14.1796875" style="1" bestFit="1" customWidth="1"/>
    <col min="14345" max="14345" width="8.453125" style="1" customWidth="1"/>
    <col min="14346" max="14346" width="14.453125" style="1" bestFit="1" customWidth="1"/>
    <col min="14347" max="14347" width="4.453125" style="1" customWidth="1"/>
    <col min="14348" max="14348" width="14.453125" style="1" bestFit="1" customWidth="1"/>
    <col min="14349" max="14349" width="13.453125" style="1" customWidth="1"/>
    <col min="14350" max="14350" width="14.7265625" style="1" bestFit="1" customWidth="1"/>
    <col min="14351" max="14351" width="14.26953125" style="1" bestFit="1" customWidth="1"/>
    <col min="14352" max="14352" width="14.26953125" style="1" customWidth="1"/>
    <col min="14353" max="14353" width="14" style="1" bestFit="1" customWidth="1"/>
    <col min="14354" max="14354" width="11.54296875" style="1" bestFit="1" customWidth="1"/>
    <col min="14355" max="14355" width="13.81640625" style="1" bestFit="1" customWidth="1"/>
    <col min="14356" max="14593" width="11.453125" style="1"/>
    <col min="14594" max="14594" width="20.26953125" style="1" customWidth="1"/>
    <col min="14595" max="14595" width="21.7265625" style="1" customWidth="1"/>
    <col min="14596" max="14596" width="22" style="1" customWidth="1"/>
    <col min="14597" max="14597" width="17.1796875" style="1" customWidth="1"/>
    <col min="14598" max="14598" width="21.453125" style="1" customWidth="1"/>
    <col min="14599" max="14599" width="19.54296875" style="1" customWidth="1"/>
    <col min="14600" max="14600" width="14.1796875" style="1" bestFit="1" customWidth="1"/>
    <col min="14601" max="14601" width="8.453125" style="1" customWidth="1"/>
    <col min="14602" max="14602" width="14.453125" style="1" bestFit="1" customWidth="1"/>
    <col min="14603" max="14603" width="4.453125" style="1" customWidth="1"/>
    <col min="14604" max="14604" width="14.453125" style="1" bestFit="1" customWidth="1"/>
    <col min="14605" max="14605" width="13.453125" style="1" customWidth="1"/>
    <col min="14606" max="14606" width="14.7265625" style="1" bestFit="1" customWidth="1"/>
    <col min="14607" max="14607" width="14.26953125" style="1" bestFit="1" customWidth="1"/>
    <col min="14608" max="14608" width="14.26953125" style="1" customWidth="1"/>
    <col min="14609" max="14609" width="14" style="1" bestFit="1" customWidth="1"/>
    <col min="14610" max="14610" width="11.54296875" style="1" bestFit="1" customWidth="1"/>
    <col min="14611" max="14611" width="13.81640625" style="1" bestFit="1" customWidth="1"/>
    <col min="14612" max="14849" width="11.453125" style="1"/>
    <col min="14850" max="14850" width="20.26953125" style="1" customWidth="1"/>
    <col min="14851" max="14851" width="21.7265625" style="1" customWidth="1"/>
    <col min="14852" max="14852" width="22" style="1" customWidth="1"/>
    <col min="14853" max="14853" width="17.1796875" style="1" customWidth="1"/>
    <col min="14854" max="14854" width="21.453125" style="1" customWidth="1"/>
    <col min="14855" max="14855" width="19.54296875" style="1" customWidth="1"/>
    <col min="14856" max="14856" width="14.1796875" style="1" bestFit="1" customWidth="1"/>
    <col min="14857" max="14857" width="8.453125" style="1" customWidth="1"/>
    <col min="14858" max="14858" width="14.453125" style="1" bestFit="1" customWidth="1"/>
    <col min="14859" max="14859" width="4.453125" style="1" customWidth="1"/>
    <col min="14860" max="14860" width="14.453125" style="1" bestFit="1" customWidth="1"/>
    <col min="14861" max="14861" width="13.453125" style="1" customWidth="1"/>
    <col min="14862" max="14862" width="14.7265625" style="1" bestFit="1" customWidth="1"/>
    <col min="14863" max="14863" width="14.26953125" style="1" bestFit="1" customWidth="1"/>
    <col min="14864" max="14864" width="14.26953125" style="1" customWidth="1"/>
    <col min="14865" max="14865" width="14" style="1" bestFit="1" customWidth="1"/>
    <col min="14866" max="14866" width="11.54296875" style="1" bestFit="1" customWidth="1"/>
    <col min="14867" max="14867" width="13.81640625" style="1" bestFit="1" customWidth="1"/>
    <col min="14868" max="15105" width="11.453125" style="1"/>
    <col min="15106" max="15106" width="20.26953125" style="1" customWidth="1"/>
    <col min="15107" max="15107" width="21.7265625" style="1" customWidth="1"/>
    <col min="15108" max="15108" width="22" style="1" customWidth="1"/>
    <col min="15109" max="15109" width="17.1796875" style="1" customWidth="1"/>
    <col min="15110" max="15110" width="21.453125" style="1" customWidth="1"/>
    <col min="15111" max="15111" width="19.54296875" style="1" customWidth="1"/>
    <col min="15112" max="15112" width="14.1796875" style="1" bestFit="1" customWidth="1"/>
    <col min="15113" max="15113" width="8.453125" style="1" customWidth="1"/>
    <col min="15114" max="15114" width="14.453125" style="1" bestFit="1" customWidth="1"/>
    <col min="15115" max="15115" width="4.453125" style="1" customWidth="1"/>
    <col min="15116" max="15116" width="14.453125" style="1" bestFit="1" customWidth="1"/>
    <col min="15117" max="15117" width="13.453125" style="1" customWidth="1"/>
    <col min="15118" max="15118" width="14.7265625" style="1" bestFit="1" customWidth="1"/>
    <col min="15119" max="15119" width="14.26953125" style="1" bestFit="1" customWidth="1"/>
    <col min="15120" max="15120" width="14.26953125" style="1" customWidth="1"/>
    <col min="15121" max="15121" width="14" style="1" bestFit="1" customWidth="1"/>
    <col min="15122" max="15122" width="11.54296875" style="1" bestFit="1" customWidth="1"/>
    <col min="15123" max="15123" width="13.81640625" style="1" bestFit="1" customWidth="1"/>
    <col min="15124" max="15361" width="11.453125" style="1"/>
    <col min="15362" max="15362" width="20.26953125" style="1" customWidth="1"/>
    <col min="15363" max="15363" width="21.7265625" style="1" customWidth="1"/>
    <col min="15364" max="15364" width="22" style="1" customWidth="1"/>
    <col min="15365" max="15365" width="17.1796875" style="1" customWidth="1"/>
    <col min="15366" max="15366" width="21.453125" style="1" customWidth="1"/>
    <col min="15367" max="15367" width="19.54296875" style="1" customWidth="1"/>
    <col min="15368" max="15368" width="14.1796875" style="1" bestFit="1" customWidth="1"/>
    <col min="15369" max="15369" width="8.453125" style="1" customWidth="1"/>
    <col min="15370" max="15370" width="14.453125" style="1" bestFit="1" customWidth="1"/>
    <col min="15371" max="15371" width="4.453125" style="1" customWidth="1"/>
    <col min="15372" max="15372" width="14.453125" style="1" bestFit="1" customWidth="1"/>
    <col min="15373" max="15373" width="13.453125" style="1" customWidth="1"/>
    <col min="15374" max="15374" width="14.7265625" style="1" bestFit="1" customWidth="1"/>
    <col min="15375" max="15375" width="14.26953125" style="1" bestFit="1" customWidth="1"/>
    <col min="15376" max="15376" width="14.26953125" style="1" customWidth="1"/>
    <col min="15377" max="15377" width="14" style="1" bestFit="1" customWidth="1"/>
    <col min="15378" max="15378" width="11.54296875" style="1" bestFit="1" customWidth="1"/>
    <col min="15379" max="15379" width="13.81640625" style="1" bestFit="1" customWidth="1"/>
    <col min="15380" max="15617" width="11.453125" style="1"/>
    <col min="15618" max="15618" width="20.26953125" style="1" customWidth="1"/>
    <col min="15619" max="15619" width="21.7265625" style="1" customWidth="1"/>
    <col min="15620" max="15620" width="22" style="1" customWidth="1"/>
    <col min="15621" max="15621" width="17.1796875" style="1" customWidth="1"/>
    <col min="15622" max="15622" width="21.453125" style="1" customWidth="1"/>
    <col min="15623" max="15623" width="19.54296875" style="1" customWidth="1"/>
    <col min="15624" max="15624" width="14.1796875" style="1" bestFit="1" customWidth="1"/>
    <col min="15625" max="15625" width="8.453125" style="1" customWidth="1"/>
    <col min="15626" max="15626" width="14.453125" style="1" bestFit="1" customWidth="1"/>
    <col min="15627" max="15627" width="4.453125" style="1" customWidth="1"/>
    <col min="15628" max="15628" width="14.453125" style="1" bestFit="1" customWidth="1"/>
    <col min="15629" max="15629" width="13.453125" style="1" customWidth="1"/>
    <col min="15630" max="15630" width="14.7265625" style="1" bestFit="1" customWidth="1"/>
    <col min="15631" max="15631" width="14.26953125" style="1" bestFit="1" customWidth="1"/>
    <col min="15632" max="15632" width="14.26953125" style="1" customWidth="1"/>
    <col min="15633" max="15633" width="14" style="1" bestFit="1" customWidth="1"/>
    <col min="15634" max="15634" width="11.54296875" style="1" bestFit="1" customWidth="1"/>
    <col min="15635" max="15635" width="13.81640625" style="1" bestFit="1" customWidth="1"/>
    <col min="15636" max="15873" width="11.453125" style="1"/>
    <col min="15874" max="15874" width="20.26953125" style="1" customWidth="1"/>
    <col min="15875" max="15875" width="21.7265625" style="1" customWidth="1"/>
    <col min="15876" max="15876" width="22" style="1" customWidth="1"/>
    <col min="15877" max="15877" width="17.1796875" style="1" customWidth="1"/>
    <col min="15878" max="15878" width="21.453125" style="1" customWidth="1"/>
    <col min="15879" max="15879" width="19.54296875" style="1" customWidth="1"/>
    <col min="15880" max="15880" width="14.1796875" style="1" bestFit="1" customWidth="1"/>
    <col min="15881" max="15881" width="8.453125" style="1" customWidth="1"/>
    <col min="15882" max="15882" width="14.453125" style="1" bestFit="1" customWidth="1"/>
    <col min="15883" max="15883" width="4.453125" style="1" customWidth="1"/>
    <col min="15884" max="15884" width="14.453125" style="1" bestFit="1" customWidth="1"/>
    <col min="15885" max="15885" width="13.453125" style="1" customWidth="1"/>
    <col min="15886" max="15886" width="14.7265625" style="1" bestFit="1" customWidth="1"/>
    <col min="15887" max="15887" width="14.26953125" style="1" bestFit="1" customWidth="1"/>
    <col min="15888" max="15888" width="14.26953125" style="1" customWidth="1"/>
    <col min="15889" max="15889" width="14" style="1" bestFit="1" customWidth="1"/>
    <col min="15890" max="15890" width="11.54296875" style="1" bestFit="1" customWidth="1"/>
    <col min="15891" max="15891" width="13.81640625" style="1" bestFit="1" customWidth="1"/>
    <col min="15892" max="16129" width="11.453125" style="1"/>
    <col min="16130" max="16130" width="20.26953125" style="1" customWidth="1"/>
    <col min="16131" max="16131" width="21.7265625" style="1" customWidth="1"/>
    <col min="16132" max="16132" width="22" style="1" customWidth="1"/>
    <col min="16133" max="16133" width="17.1796875" style="1" customWidth="1"/>
    <col min="16134" max="16134" width="21.453125" style="1" customWidth="1"/>
    <col min="16135" max="16135" width="19.54296875" style="1" customWidth="1"/>
    <col min="16136" max="16136" width="14.1796875" style="1" bestFit="1" customWidth="1"/>
    <col min="16137" max="16137" width="8.453125" style="1" customWidth="1"/>
    <col min="16138" max="16138" width="14.453125" style="1" bestFit="1" customWidth="1"/>
    <col min="16139" max="16139" width="4.453125" style="1" customWidth="1"/>
    <col min="16140" max="16140" width="14.453125" style="1" bestFit="1" customWidth="1"/>
    <col min="16141" max="16141" width="13.453125" style="1" customWidth="1"/>
    <col min="16142" max="16142" width="14.7265625" style="1" bestFit="1" customWidth="1"/>
    <col min="16143" max="16143" width="14.26953125" style="1" bestFit="1" customWidth="1"/>
    <col min="16144" max="16144" width="14.26953125" style="1" customWidth="1"/>
    <col min="16145" max="16145" width="14" style="1" bestFit="1" customWidth="1"/>
    <col min="16146" max="16146" width="11.54296875" style="1" bestFit="1" customWidth="1"/>
    <col min="16147" max="16147" width="13.81640625" style="1" bestFit="1" customWidth="1"/>
    <col min="16148" max="16384" width="11.453125" style="1"/>
  </cols>
  <sheetData>
    <row r="1" spans="2:30" s="7" customFormat="1" ht="6" customHeight="1" thickBot="1" x14ac:dyDescent="0.35">
      <c r="B1" s="47"/>
      <c r="C1" s="48"/>
      <c r="D1" s="47"/>
      <c r="E1" s="49"/>
      <c r="F1" s="1"/>
      <c r="G1" s="1"/>
      <c r="H1" s="50"/>
      <c r="I1" s="50"/>
      <c r="J1" s="50"/>
      <c r="K1" s="50"/>
      <c r="L1" s="51"/>
      <c r="M1" s="52"/>
      <c r="N1" s="52"/>
      <c r="O1" s="4"/>
      <c r="P1" s="4"/>
      <c r="Q1" s="53"/>
      <c r="X1" s="54"/>
      <c r="Y1" s="54"/>
      <c r="Z1" s="54"/>
      <c r="AA1" s="54"/>
      <c r="AB1" s="54"/>
      <c r="AC1" s="54"/>
    </row>
    <row r="2" spans="2:30" ht="31.5" customHeight="1" thickBot="1" x14ac:dyDescent="0.35">
      <c r="B2" s="555" t="s">
        <v>119</v>
      </c>
      <c r="C2" s="556"/>
      <c r="D2" s="556"/>
      <c r="E2" s="556"/>
      <c r="F2" s="557"/>
      <c r="G2" s="55"/>
      <c r="H2" s="280" t="s">
        <v>14</v>
      </c>
      <c r="I2" s="57">
        <v>0.95</v>
      </c>
      <c r="J2" s="55"/>
      <c r="K2" s="58"/>
      <c r="L2" s="51"/>
      <c r="M2" s="59"/>
      <c r="N2" s="59"/>
      <c r="O2" s="60"/>
      <c r="P2" s="60"/>
      <c r="Q2" s="61"/>
      <c r="R2" s="341" t="s">
        <v>139</v>
      </c>
      <c r="S2" s="4"/>
      <c r="T2" s="308" t="s">
        <v>123</v>
      </c>
      <c r="U2" s="307" t="s">
        <v>121</v>
      </c>
      <c r="V2" s="306" t="s">
        <v>122</v>
      </c>
      <c r="W2" s="54"/>
      <c r="X2" s="6"/>
      <c r="Y2" s="6"/>
      <c r="Z2" s="6"/>
      <c r="AA2" s="6"/>
      <c r="AB2" s="6"/>
      <c r="AC2" s="6"/>
      <c r="AD2" s="6"/>
    </row>
    <row r="3" spans="2:30" ht="27.75" customHeight="1" thickBot="1" x14ac:dyDescent="0.35">
      <c r="B3" s="558" t="s">
        <v>130</v>
      </c>
      <c r="C3" s="559"/>
      <c r="D3" s="559"/>
      <c r="E3" s="559"/>
      <c r="F3" s="560"/>
      <c r="G3" s="62"/>
      <c r="K3" s="58"/>
      <c r="L3" s="51"/>
      <c r="M3" s="59"/>
      <c r="N3" s="59"/>
      <c r="O3" s="60"/>
      <c r="P3" s="60"/>
      <c r="Q3" s="61"/>
      <c r="R3" s="309" t="s">
        <v>11</v>
      </c>
      <c r="S3" s="310">
        <f>V3+U3+T3</f>
        <v>139.25960030860358</v>
      </c>
      <c r="T3" s="338">
        <f>J32</f>
        <v>1.4132052462606706</v>
      </c>
      <c r="U3" s="339">
        <f>J31</f>
        <v>1</v>
      </c>
      <c r="V3" s="340">
        <f>J30</f>
        <v>136.84639506234291</v>
      </c>
      <c r="W3" s="60"/>
      <c r="X3" s="6"/>
      <c r="Y3" s="6"/>
      <c r="Z3" s="6"/>
      <c r="AA3" s="6"/>
      <c r="AB3" s="6"/>
      <c r="AC3" s="6"/>
      <c r="AD3" s="6"/>
    </row>
    <row r="4" spans="2:30" ht="14.25" customHeight="1" x14ac:dyDescent="0.3">
      <c r="B4" s="68"/>
      <c r="C4" s="63"/>
      <c r="D4" s="52"/>
      <c r="E4" s="52"/>
      <c r="F4" s="5"/>
      <c r="G4" s="323" t="s">
        <v>115</v>
      </c>
      <c r="H4" s="282">
        <v>60</v>
      </c>
      <c r="I4" s="322" t="s">
        <v>134</v>
      </c>
      <c r="K4" s="64"/>
      <c r="L4" s="65"/>
      <c r="O4" s="60"/>
      <c r="P4" s="60"/>
      <c r="Q4" s="60"/>
      <c r="R4" s="60"/>
      <c r="S4" s="60"/>
      <c r="T4" s="60"/>
      <c r="U4" s="60"/>
      <c r="V4" s="60"/>
      <c r="W4" s="60"/>
      <c r="X4" s="6"/>
      <c r="Y4" s="66"/>
      <c r="Z4" s="67"/>
      <c r="AA4" s="6"/>
      <c r="AB4" s="6"/>
      <c r="AC4" s="6"/>
      <c r="AD4" s="6"/>
    </row>
    <row r="5" spans="2:30" x14ac:dyDescent="0.3">
      <c r="B5" s="68"/>
      <c r="C5" s="391"/>
      <c r="D5" s="195" t="s">
        <v>15</v>
      </c>
      <c r="E5" s="195" t="s">
        <v>16</v>
      </c>
      <c r="F5" s="127"/>
      <c r="K5" s="69"/>
      <c r="L5" s="70"/>
      <c r="M5" s="70"/>
      <c r="N5" s="70"/>
      <c r="O5" s="60"/>
      <c r="Q5" s="60"/>
      <c r="R5" s="342" t="s">
        <v>138</v>
      </c>
      <c r="S5" s="305" t="str">
        <f>I4</f>
        <v>meses</v>
      </c>
      <c r="V5" s="2" t="s">
        <v>0</v>
      </c>
      <c r="W5" s="66"/>
      <c r="X5" s="6"/>
      <c r="Y5" s="66"/>
      <c r="Z5" s="67"/>
      <c r="AA5" s="6"/>
      <c r="AB5" s="6"/>
      <c r="AC5" s="6"/>
      <c r="AD5" s="6"/>
    </row>
    <row r="6" spans="2:30" x14ac:dyDescent="0.3">
      <c r="B6" s="68"/>
      <c r="C6" s="392"/>
      <c r="D6" s="466" t="s">
        <v>17</v>
      </c>
      <c r="E6" s="466" t="s">
        <v>18</v>
      </c>
      <c r="F6" s="467" t="s">
        <v>19</v>
      </c>
      <c r="G6" s="453"/>
      <c r="H6" s="453"/>
      <c r="I6" s="454"/>
      <c r="J6" s="453"/>
      <c r="K6" s="455"/>
      <c r="L6" s="456"/>
      <c r="M6" s="456"/>
      <c r="N6" s="456"/>
      <c r="O6" s="454"/>
      <c r="P6" s="60"/>
      <c r="Q6" s="60"/>
      <c r="R6" s="11" t="s">
        <v>1</v>
      </c>
      <c r="S6" s="446">
        <f>S14</f>
        <v>0.51986475063398141</v>
      </c>
      <c r="T6" s="12">
        <f>S6/S9</f>
        <v>8.6644125105663564E-3</v>
      </c>
      <c r="V6" s="367">
        <f>S6*365.25/12</f>
        <v>15.82338334742181</v>
      </c>
      <c r="W6" s="66"/>
      <c r="X6" s="6"/>
      <c r="Y6" s="66"/>
      <c r="Z6" s="6"/>
      <c r="AA6" s="6"/>
      <c r="AB6" s="6"/>
      <c r="AC6" s="6"/>
      <c r="AD6" s="6"/>
    </row>
    <row r="7" spans="2:30" ht="12.75" customHeight="1" x14ac:dyDescent="0.3">
      <c r="C7" s="393" t="s">
        <v>204</v>
      </c>
      <c r="D7" s="468">
        <v>24</v>
      </c>
      <c r="E7" s="469">
        <f>F7-D7</f>
        <v>2341</v>
      </c>
      <c r="F7" s="470">
        <v>2365</v>
      </c>
      <c r="G7" s="453"/>
      <c r="H7" s="453"/>
      <c r="I7" s="459"/>
      <c r="J7" s="453"/>
      <c r="K7" s="455"/>
      <c r="L7" s="456"/>
      <c r="M7" s="456"/>
      <c r="N7" s="456"/>
      <c r="O7" s="460"/>
      <c r="P7" s="60"/>
      <c r="Q7" s="60"/>
      <c r="R7" s="13" t="s">
        <v>3</v>
      </c>
      <c r="S7" s="447">
        <f>R14</f>
        <v>0.21542500433376999</v>
      </c>
      <c r="T7" s="14">
        <f>S7/S9</f>
        <v>3.590416738896166E-3</v>
      </c>
      <c r="V7" s="368">
        <f>S7*365.25/12</f>
        <v>6.5569985694091244</v>
      </c>
      <c r="W7" s="66"/>
      <c r="X7" s="6"/>
      <c r="Y7" s="66"/>
      <c r="Z7" s="6"/>
      <c r="AA7" s="6"/>
      <c r="AB7" s="6"/>
      <c r="AC7" s="6"/>
      <c r="AD7" s="6"/>
    </row>
    <row r="8" spans="2:30" ht="12.75" customHeight="1" x14ac:dyDescent="0.3">
      <c r="B8" s="68"/>
      <c r="C8" s="393" t="s">
        <v>205</v>
      </c>
      <c r="D8" s="468">
        <v>41</v>
      </c>
      <c r="E8" s="469">
        <f>F8-D8</f>
        <v>2325</v>
      </c>
      <c r="F8" s="470">
        <v>2366</v>
      </c>
      <c r="G8" s="457"/>
      <c r="H8" s="458"/>
      <c r="I8" s="459"/>
      <c r="J8" s="453"/>
      <c r="K8" s="455"/>
      <c r="L8" s="456"/>
      <c r="M8" s="461"/>
      <c r="N8" s="456"/>
      <c r="O8" s="460"/>
      <c r="P8" s="60"/>
      <c r="Q8" s="60"/>
      <c r="R8" s="15" t="s">
        <v>2</v>
      </c>
      <c r="S8" s="448">
        <f>Q14</f>
        <v>59.264710245032255</v>
      </c>
      <c r="T8" s="16">
        <f>S8/S9</f>
        <v>0.98774517075053747</v>
      </c>
      <c r="V8" s="369">
        <f>S8*365.26/12</f>
        <v>1803.9190053417067</v>
      </c>
      <c r="W8" s="66"/>
      <c r="X8" s="6"/>
      <c r="Y8" s="66"/>
      <c r="Z8" s="6"/>
      <c r="AA8" s="6"/>
      <c r="AB8" s="6"/>
      <c r="AC8" s="6"/>
      <c r="AD8" s="6"/>
    </row>
    <row r="9" spans="2:30" x14ac:dyDescent="0.3">
      <c r="B9" s="347"/>
      <c r="C9" s="394" t="s">
        <v>19</v>
      </c>
      <c r="D9" s="471">
        <f>SUM(D7:D8)</f>
        <v>65</v>
      </c>
      <c r="E9" s="472">
        <f>SUM(E7:E8)</f>
        <v>4666</v>
      </c>
      <c r="F9" s="473">
        <f>SUM(F7:F8)</f>
        <v>4731</v>
      </c>
      <c r="G9" s="457"/>
      <c r="H9" s="458"/>
      <c r="I9" s="462"/>
      <c r="J9" s="453"/>
      <c r="K9" s="455"/>
      <c r="L9" s="456"/>
      <c r="M9" s="461"/>
      <c r="N9" s="456"/>
      <c r="O9" s="462"/>
      <c r="P9" s="60"/>
      <c r="Q9" s="74"/>
      <c r="S9" s="9">
        <f>SUM(S6:S8)</f>
        <v>60.000000000000007</v>
      </c>
      <c r="V9" s="17">
        <f>SUM(V6:V8)</f>
        <v>1826.2993872585375</v>
      </c>
      <c r="W9" s="66"/>
      <c r="X9" s="6"/>
      <c r="Y9" s="66"/>
      <c r="Z9" s="6"/>
      <c r="AA9" s="6"/>
      <c r="AB9" s="6"/>
      <c r="AC9" s="6"/>
      <c r="AD9" s="6"/>
    </row>
    <row r="10" spans="2:30" ht="12.75" customHeight="1" x14ac:dyDescent="0.3">
      <c r="B10" s="347"/>
      <c r="C10" s="347"/>
      <c r="D10" s="347"/>
      <c r="E10" s="347"/>
      <c r="F10" s="347"/>
      <c r="G10" s="347"/>
      <c r="H10" s="70"/>
      <c r="I10" s="69"/>
      <c r="J10" s="69"/>
      <c r="K10" s="69"/>
      <c r="L10" s="70"/>
      <c r="M10" s="72"/>
      <c r="N10" s="70"/>
      <c r="P10" s="73"/>
      <c r="Q10" s="74"/>
      <c r="R10" s="74"/>
      <c r="S10" s="74"/>
      <c r="T10" s="66"/>
      <c r="V10" s="66"/>
      <c r="W10" s="66"/>
      <c r="X10" s="6"/>
      <c r="Y10" s="66"/>
      <c r="Z10" s="6"/>
      <c r="AA10" s="6"/>
      <c r="AB10" s="6"/>
      <c r="AC10" s="6"/>
      <c r="AD10" s="6"/>
    </row>
    <row r="11" spans="2:30" s="7" customFormat="1" ht="14.25" hidden="1" customHeight="1" x14ac:dyDescent="0.3">
      <c r="B11" s="75" t="s">
        <v>20</v>
      </c>
      <c r="C11" s="76"/>
      <c r="D11" s="77"/>
      <c r="E11" s="4"/>
      <c r="F11" s="78"/>
      <c r="G11" s="79"/>
      <c r="H11" s="72"/>
      <c r="I11" s="79"/>
      <c r="J11" s="72"/>
      <c r="K11" s="80"/>
      <c r="L11" s="80"/>
      <c r="M11" s="79"/>
      <c r="N11" s="80"/>
      <c r="P11" s="4"/>
      <c r="Q11" s="81"/>
      <c r="R11" s="81"/>
      <c r="S11" s="81"/>
      <c r="T11" s="4"/>
      <c r="U11" s="4"/>
      <c r="V11" s="4"/>
      <c r="W11" s="4"/>
    </row>
    <row r="12" spans="2:30" s="7" customFormat="1" ht="12.75" hidden="1" customHeight="1" x14ac:dyDescent="0.3">
      <c r="B12" s="71" t="s">
        <v>21</v>
      </c>
      <c r="C12" s="76"/>
      <c r="D12" s="77"/>
      <c r="E12" s="4"/>
      <c r="F12" s="78"/>
      <c r="G12" s="79"/>
      <c r="H12" s="72"/>
      <c r="I12" s="79"/>
      <c r="J12" s="72"/>
      <c r="K12" s="82"/>
      <c r="L12" s="80"/>
      <c r="M12" s="80"/>
      <c r="N12" s="80"/>
      <c r="O12" s="7" t="s">
        <v>112</v>
      </c>
      <c r="P12" s="4"/>
      <c r="Q12" s="81"/>
      <c r="R12" s="53"/>
      <c r="S12" s="53"/>
      <c r="T12" s="4"/>
      <c r="U12" s="4"/>
      <c r="V12" s="4"/>
      <c r="W12" s="4"/>
    </row>
    <row r="13" spans="2:30" s="7" customFormat="1" ht="45" hidden="1" customHeight="1" x14ac:dyDescent="0.3">
      <c r="B13" s="83" t="s">
        <v>22</v>
      </c>
      <c r="C13" s="83" t="s">
        <v>23</v>
      </c>
      <c r="D13" s="83" t="s">
        <v>24</v>
      </c>
      <c r="E13" s="83" t="s">
        <v>25</v>
      </c>
      <c r="F13" s="83" t="s">
        <v>26</v>
      </c>
      <c r="G13" s="83" t="s">
        <v>27</v>
      </c>
      <c r="H13" s="83" t="s">
        <v>28</v>
      </c>
      <c r="I13" s="83" t="s">
        <v>29</v>
      </c>
      <c r="J13" s="72"/>
      <c r="K13" s="84" t="s">
        <v>30</v>
      </c>
      <c r="L13" s="85" t="s">
        <v>31</v>
      </c>
      <c r="M13" s="85" t="s">
        <v>32</v>
      </c>
      <c r="N13" s="80"/>
      <c r="O13" s="281" t="s">
        <v>113</v>
      </c>
      <c r="P13" s="281" t="s">
        <v>114</v>
      </c>
      <c r="Q13" s="285" t="s">
        <v>2</v>
      </c>
      <c r="R13" s="286" t="s">
        <v>3</v>
      </c>
      <c r="S13" s="287" t="s">
        <v>1</v>
      </c>
      <c r="T13" s="4"/>
      <c r="W13" s="4"/>
    </row>
    <row r="14" spans="2:30" s="7" customFormat="1" ht="12.75" hidden="1" customHeight="1" x14ac:dyDescent="0.3">
      <c r="B14" s="86">
        <f>LN((D7/F7)/(D8/F8))</f>
        <v>-0.53509549274406343</v>
      </c>
      <c r="C14" s="86">
        <f>SQRT((E7/(D7*F7)+(E8/(D8*F8))))</f>
        <v>0.25536527430197914</v>
      </c>
      <c r="D14" s="87">
        <f>-NORMSINV((1-I2)/2)</f>
        <v>1.9599639845400536</v>
      </c>
      <c r="E14" s="88">
        <f>B14-(D14*C14)</f>
        <v>-1.0356022332781341</v>
      </c>
      <c r="F14" s="89">
        <f>B14+(D14*C14)</f>
        <v>-3.458875220999269E-2</v>
      </c>
      <c r="G14" s="90">
        <f>(D7/F7)/(D8/F8)</f>
        <v>0.58561336564739852</v>
      </c>
      <c r="H14" s="90">
        <f>EXP(E14)</f>
        <v>0.35501251618178387</v>
      </c>
      <c r="I14" s="90">
        <f>EXP(F14)</f>
        <v>0.9660026010161008</v>
      </c>
      <c r="J14" s="72"/>
      <c r="K14" s="91">
        <f>1-G14</f>
        <v>0.41438663435260148</v>
      </c>
      <c r="L14" s="90">
        <f>1-H14</f>
        <v>0.64498748381821613</v>
      </c>
      <c r="M14" s="90">
        <f>1-I14</f>
        <v>3.3997398983899196E-2</v>
      </c>
      <c r="N14" s="92"/>
      <c r="O14" s="283">
        <f>(D7/F7)*H4/2</f>
        <v>0.30443974630021142</v>
      </c>
      <c r="P14" s="284">
        <f>(D8/F8)*H4/2</f>
        <v>0.51986475063398141</v>
      </c>
      <c r="Q14" s="288">
        <f>H4-R14-S14</f>
        <v>59.264710245032255</v>
      </c>
      <c r="R14" s="288">
        <f>P14-O14</f>
        <v>0.21542500433376999</v>
      </c>
      <c r="S14" s="288">
        <f>P14</f>
        <v>0.51986475063398141</v>
      </c>
      <c r="T14" s="4" t="str">
        <f>I4</f>
        <v>meses</v>
      </c>
      <c r="W14" s="4"/>
    </row>
    <row r="15" spans="2:30" s="7" customFormat="1" ht="12.75" hidden="1" customHeight="1" x14ac:dyDescent="0.3">
      <c r="B15" s="93"/>
      <c r="C15" s="76"/>
      <c r="D15" s="76"/>
      <c r="E15" s="76"/>
      <c r="F15" s="94"/>
      <c r="G15" s="95"/>
      <c r="H15" s="72"/>
      <c r="I15" s="79"/>
      <c r="J15" s="72"/>
      <c r="K15" s="79"/>
      <c r="L15" s="79"/>
      <c r="M15" s="79"/>
      <c r="N15" s="80"/>
      <c r="P15" s="4"/>
      <c r="Q15" s="4"/>
      <c r="R15" s="4"/>
      <c r="S15" s="4"/>
      <c r="T15" s="4"/>
      <c r="U15" s="4"/>
      <c r="V15" s="4"/>
      <c r="W15" s="4"/>
    </row>
    <row r="16" spans="2:30" s="6" customFormat="1" ht="12.75" hidden="1" customHeight="1" x14ac:dyDescent="0.3">
      <c r="B16" s="96"/>
      <c r="C16" s="97"/>
      <c r="D16" s="98"/>
      <c r="E16" s="99"/>
      <c r="F16" s="100"/>
      <c r="G16" s="101"/>
      <c r="H16" s="102"/>
      <c r="I16" s="103"/>
      <c r="J16" s="103"/>
      <c r="K16" s="104"/>
      <c r="L16" s="104"/>
      <c r="M16" s="105"/>
      <c r="N16" s="105"/>
    </row>
    <row r="17" spans="2:30" ht="15.75" hidden="1" customHeight="1" x14ac:dyDescent="0.3">
      <c r="B17" s="106" t="s">
        <v>33</v>
      </c>
      <c r="C17" s="4"/>
      <c r="D17" s="107"/>
      <c r="E17" s="107"/>
      <c r="F17" s="52"/>
      <c r="G17" s="52"/>
      <c r="H17" s="108"/>
      <c r="I17" s="109"/>
      <c r="J17" s="110"/>
      <c r="K17" s="110"/>
      <c r="L17" s="7"/>
      <c r="M17" s="80"/>
      <c r="N17" s="72"/>
      <c r="O17" s="109"/>
      <c r="P17" s="4"/>
      <c r="Q17" s="4"/>
      <c r="R17" s="111"/>
      <c r="S17" s="109"/>
      <c r="T17" s="112"/>
      <c r="U17" s="112"/>
      <c r="V17" s="112"/>
      <c r="W17" s="6"/>
      <c r="X17" s="6"/>
      <c r="Y17" s="6"/>
      <c r="Z17" s="6"/>
      <c r="AA17" s="6"/>
      <c r="AB17" s="6"/>
      <c r="AC17" s="6"/>
    </row>
    <row r="18" spans="2:30" ht="12.75" hidden="1" customHeight="1" x14ac:dyDescent="0.3">
      <c r="B18" s="113" t="s">
        <v>34</v>
      </c>
      <c r="C18" s="4"/>
      <c r="D18" s="109"/>
      <c r="E18" s="109"/>
      <c r="F18" s="4"/>
      <c r="G18" s="4"/>
      <c r="H18" s="111"/>
      <c r="I18" s="109"/>
      <c r="J18" s="112"/>
      <c r="K18" s="112"/>
      <c r="L18" s="112"/>
      <c r="M18" s="80"/>
      <c r="N18" s="72"/>
      <c r="O18" s="4"/>
      <c r="P18" s="4"/>
      <c r="Q18" s="111"/>
      <c r="R18" s="109"/>
      <c r="S18" s="112"/>
      <c r="T18" s="112"/>
      <c r="U18" s="112"/>
      <c r="W18" s="6" t="s">
        <v>35</v>
      </c>
      <c r="X18" s="6"/>
      <c r="Y18" s="6"/>
      <c r="Z18" s="6"/>
      <c r="AA18" s="6"/>
      <c r="AB18" s="6"/>
    </row>
    <row r="19" spans="2:30" ht="25.5" hidden="1" customHeight="1" x14ac:dyDescent="0.3">
      <c r="B19" s="114" t="s">
        <v>36</v>
      </c>
      <c r="C19" s="1" t="s">
        <v>37</v>
      </c>
      <c r="D19" s="7"/>
      <c r="E19" s="1" t="s">
        <v>38</v>
      </c>
      <c r="G19" s="1" t="s">
        <v>39</v>
      </c>
      <c r="I19" s="1" t="s">
        <v>40</v>
      </c>
      <c r="J19" s="112"/>
      <c r="K19" s="112"/>
      <c r="L19" s="112"/>
      <c r="M19" s="80"/>
      <c r="N19" s="104"/>
      <c r="P19" s="1"/>
      <c r="T19" s="6"/>
      <c r="V19" s="1"/>
      <c r="W19" s="1" t="s">
        <v>41</v>
      </c>
      <c r="Y19" s="6"/>
      <c r="Z19" s="6"/>
      <c r="AA19" s="6"/>
      <c r="AB19" s="6"/>
      <c r="AC19" s="6"/>
      <c r="AD19" s="6"/>
    </row>
    <row r="20" spans="2:30" ht="38.25" hidden="1" customHeight="1" x14ac:dyDescent="0.4">
      <c r="B20" s="83" t="s">
        <v>42</v>
      </c>
      <c r="C20" s="83" t="s">
        <v>43</v>
      </c>
      <c r="D20" s="115" t="s">
        <v>44</v>
      </c>
      <c r="E20" s="115" t="s">
        <v>37</v>
      </c>
      <c r="F20" s="115" t="s">
        <v>45</v>
      </c>
      <c r="G20" s="115" t="s">
        <v>39</v>
      </c>
      <c r="H20" s="115" t="s">
        <v>40</v>
      </c>
      <c r="I20" s="116" t="s">
        <v>46</v>
      </c>
      <c r="J20" s="115" t="s">
        <v>47</v>
      </c>
      <c r="K20" s="115" t="s">
        <v>31</v>
      </c>
      <c r="L20" s="115" t="s">
        <v>32</v>
      </c>
      <c r="M20" s="117"/>
      <c r="N20" s="118"/>
      <c r="O20" s="119" t="s">
        <v>48</v>
      </c>
      <c r="P20" s="120" t="s">
        <v>49</v>
      </c>
      <c r="Q20" s="121"/>
      <c r="R20" s="122"/>
      <c r="S20" s="123"/>
      <c r="T20" s="123"/>
      <c r="U20" s="124"/>
      <c r="W20" s="125"/>
      <c r="X20" s="119" t="s">
        <v>50</v>
      </c>
      <c r="Y20" s="120" t="s">
        <v>51</v>
      </c>
      <c r="Z20" s="126"/>
      <c r="AA20" s="126"/>
      <c r="AB20" s="126" t="s">
        <v>52</v>
      </c>
      <c r="AC20" s="126"/>
      <c r="AD20" s="127"/>
    </row>
    <row r="21" spans="2:30" ht="12.75" hidden="1" customHeight="1" x14ac:dyDescent="0.3">
      <c r="B21" s="417">
        <f>D7</f>
        <v>24</v>
      </c>
      <c r="C21" s="418">
        <f>F7</f>
        <v>2365</v>
      </c>
      <c r="D21" s="419">
        <f>B21/C21</f>
        <v>1.014799154334038E-2</v>
      </c>
      <c r="E21" s="420">
        <f>2*B21+I21^2</f>
        <v>51.841458820694122</v>
      </c>
      <c r="F21" s="420">
        <f>I21*SQRT((I21^2)+(4*B21*(1-D21)))</f>
        <v>19.488316393716033</v>
      </c>
      <c r="G21" s="421">
        <f>2*(C21+I21^2)</f>
        <v>4737.6829176413885</v>
      </c>
      <c r="H21" s="422" t="s">
        <v>53</v>
      </c>
      <c r="I21" s="87">
        <f>-NORMSINV((1-I2)/2)</f>
        <v>1.9599639845400536</v>
      </c>
      <c r="J21" s="128">
        <f>D21</f>
        <v>1.014799154334038E-2</v>
      </c>
      <c r="K21" s="128">
        <f>(E21-F21)/G21</f>
        <v>6.828895683691048E-3</v>
      </c>
      <c r="L21" s="128">
        <f>(E21+F21)/G21</f>
        <v>1.5055835617196816E-2</v>
      </c>
      <c r="M21" s="117"/>
      <c r="N21" s="129">
        <f>F9/2</f>
        <v>2365.5</v>
      </c>
      <c r="O21" s="8" t="s">
        <v>54</v>
      </c>
      <c r="P21" s="4"/>
      <c r="Q21" s="111"/>
      <c r="R21" s="109"/>
      <c r="S21" s="112"/>
      <c r="T21" s="112"/>
      <c r="U21" s="130"/>
      <c r="W21" s="131">
        <f>ABS(D21-D22)</f>
        <v>7.1808334777923328E-3</v>
      </c>
      <c r="X21" s="8" t="s">
        <v>55</v>
      </c>
      <c r="Y21" s="4"/>
      <c r="Z21" s="8"/>
      <c r="AA21" s="8"/>
      <c r="AB21" s="8" t="s">
        <v>56</v>
      </c>
      <c r="AC21" s="8"/>
      <c r="AD21" s="132"/>
    </row>
    <row r="22" spans="2:30" ht="14.25" hidden="1" customHeight="1" x14ac:dyDescent="0.4">
      <c r="B22" s="417">
        <f>D8</f>
        <v>41</v>
      </c>
      <c r="C22" s="418">
        <f>F8</f>
        <v>2366</v>
      </c>
      <c r="D22" s="419">
        <f>B22/C22</f>
        <v>1.7328825021132713E-2</v>
      </c>
      <c r="E22" s="420">
        <f>2*B22+I22^2</f>
        <v>85.841458820694129</v>
      </c>
      <c r="F22" s="420">
        <f>I22*SQRT((I22^2)+(4*B22*(1-D22)))</f>
        <v>25.176157485947989</v>
      </c>
      <c r="G22" s="421">
        <f>2*(C22+I22^2)</f>
        <v>4739.6829176413885</v>
      </c>
      <c r="H22" s="422" t="s">
        <v>53</v>
      </c>
      <c r="I22" s="87">
        <f>-NORMSINV((1-I2)/2)</f>
        <v>1.9599639845400536</v>
      </c>
      <c r="J22" s="128">
        <f>D22</f>
        <v>1.7328825021132713E-2</v>
      </c>
      <c r="K22" s="128">
        <f>(E22-F22)/G22</f>
        <v>1.2799442998379953E-2</v>
      </c>
      <c r="L22" s="128">
        <f>(E22+F22)/G22</f>
        <v>2.3423004921579834E-2</v>
      </c>
      <c r="M22" s="117"/>
      <c r="N22" s="133">
        <f>J26</f>
        <v>7.1808334777923328E-3</v>
      </c>
      <c r="O22" s="8" t="s">
        <v>57</v>
      </c>
      <c r="P22" s="8"/>
      <c r="Q22" s="8"/>
      <c r="R22" s="8"/>
      <c r="S22" s="8"/>
      <c r="T22" s="8"/>
      <c r="U22" s="134"/>
      <c r="W22" s="135">
        <f>SQRT((D23*(1-D23)/C21)+(D23*(1-D23)/C22))</f>
        <v>3.3847736299692979E-3</v>
      </c>
      <c r="X22" s="113" t="s">
        <v>58</v>
      </c>
      <c r="Y22" s="8"/>
      <c r="Z22" s="8"/>
      <c r="AA22" s="8"/>
      <c r="AB22" s="8"/>
      <c r="AC22" s="8"/>
      <c r="AD22" s="132"/>
    </row>
    <row r="23" spans="2:30" ht="12.75" hidden="1" customHeight="1" x14ac:dyDescent="0.3">
      <c r="B23" s="417">
        <f>D9</f>
        <v>65</v>
      </c>
      <c r="C23" s="418">
        <f>F9</f>
        <v>4731</v>
      </c>
      <c r="D23" s="419">
        <f>B23/C23</f>
        <v>1.3739167195096174E-2</v>
      </c>
      <c r="E23" s="420">
        <f>2*B23+I23^2</f>
        <v>133.84145882069413</v>
      </c>
      <c r="F23" s="420">
        <f>I23*SQRT((I23^2)+(4*B23*(1-D23)))</f>
        <v>31.619830858953161</v>
      </c>
      <c r="G23" s="421">
        <f>2*(C23+I23^2)</f>
        <v>9469.6829176413885</v>
      </c>
      <c r="H23" s="422" t="s">
        <v>53</v>
      </c>
      <c r="I23" s="87">
        <f>-NORMSINV((1-I2)/2)</f>
        <v>1.9599639845400536</v>
      </c>
      <c r="J23" s="128">
        <f>D23</f>
        <v>1.3739167195096174E-2</v>
      </c>
      <c r="K23" s="128">
        <f>(E23-F23)/G23</f>
        <v>1.0794619930864726E-2</v>
      </c>
      <c r="L23" s="128">
        <f>(E23+F23)/G23</f>
        <v>1.7472738117915641E-2</v>
      </c>
      <c r="M23" s="117"/>
      <c r="N23" s="136">
        <f>(B21+B22)/(C21+C22)</f>
        <v>1.3739167195096174E-2</v>
      </c>
      <c r="O23" s="8" t="s">
        <v>59</v>
      </c>
      <c r="P23" s="4"/>
      <c r="Q23" s="111"/>
      <c r="R23" s="109"/>
      <c r="S23" s="112"/>
      <c r="T23" s="112"/>
      <c r="U23" s="132"/>
      <c r="W23" s="137">
        <f>W21/W22</f>
        <v>2.1215107013988015</v>
      </c>
      <c r="X23" s="8" t="s">
        <v>60</v>
      </c>
      <c r="Y23" s="4"/>
      <c r="Z23" s="8"/>
      <c r="AA23" s="8"/>
      <c r="AB23" s="8"/>
      <c r="AC23" s="8"/>
      <c r="AD23" s="132"/>
    </row>
    <row r="24" spans="2:30" ht="15" hidden="1" customHeight="1" x14ac:dyDescent="0.3">
      <c r="B24" s="71"/>
      <c r="C24" s="138" t="s">
        <v>61</v>
      </c>
      <c r="F24" s="139"/>
      <c r="G24" s="103"/>
      <c r="H24" s="103"/>
      <c r="I24" s="103"/>
      <c r="J24" s="103"/>
      <c r="K24" s="104"/>
      <c r="L24" s="70"/>
      <c r="M24" s="117"/>
      <c r="N24" s="140">
        <f>SQRT(N21*N22^2/(2*N23*(1-N23)))-I21</f>
        <v>0.16154676425121872</v>
      </c>
      <c r="O24" s="8" t="s">
        <v>62</v>
      </c>
      <c r="P24" s="8"/>
      <c r="Q24" s="8"/>
      <c r="R24" s="8"/>
      <c r="S24" s="8"/>
      <c r="T24" s="7"/>
      <c r="U24" s="130"/>
      <c r="W24" s="141">
        <f>NORMSDIST(-W23)</f>
        <v>1.6939424172439568E-2</v>
      </c>
      <c r="X24" s="106" t="s">
        <v>63</v>
      </c>
      <c r="Y24" s="8"/>
      <c r="Z24" s="7"/>
      <c r="AA24" s="7"/>
      <c r="AB24" s="7"/>
      <c r="AC24" s="7"/>
      <c r="AD24" s="134"/>
    </row>
    <row r="25" spans="2:30" ht="13.5" hidden="1" customHeight="1" x14ac:dyDescent="0.3">
      <c r="B25" s="71"/>
      <c r="C25" s="138" t="s">
        <v>64</v>
      </c>
      <c r="D25" s="2"/>
      <c r="E25" s="142"/>
      <c r="F25" s="139"/>
      <c r="G25" s="103"/>
      <c r="H25" s="70"/>
      <c r="I25" s="70"/>
      <c r="J25" s="143"/>
      <c r="K25" s="143"/>
      <c r="L25" s="143"/>
      <c r="M25" s="117"/>
      <c r="N25" s="144">
        <f>NORMSDIST(N24)</f>
        <v>0.56416860877036867</v>
      </c>
      <c r="O25" s="106" t="s">
        <v>65</v>
      </c>
      <c r="P25" s="145"/>
      <c r="Q25" s="8"/>
      <c r="R25" s="8"/>
      <c r="S25" s="8"/>
      <c r="T25" s="8"/>
      <c r="U25" s="132"/>
      <c r="W25" s="146">
        <f>1-W24</f>
        <v>0.98306057582756046</v>
      </c>
      <c r="X25" s="147" t="s">
        <v>66</v>
      </c>
      <c r="Y25" s="145"/>
      <c r="Z25" s="7"/>
      <c r="AA25" s="7"/>
      <c r="AB25" s="7"/>
      <c r="AC25" s="7"/>
      <c r="AD25" s="134"/>
    </row>
    <row r="26" spans="2:30" ht="15" hidden="1" customHeight="1" x14ac:dyDescent="0.35">
      <c r="F26" s="148"/>
      <c r="G26" s="70"/>
      <c r="H26" s="70"/>
      <c r="I26" s="56" t="s">
        <v>67</v>
      </c>
      <c r="J26" s="149">
        <f>D22-D21</f>
        <v>7.1808334777923328E-3</v>
      </c>
      <c r="K26" s="150">
        <f>J26+SQRT((D22-K22)^2+(L21-D21)^2)</f>
        <v>1.3859323948050086E-2</v>
      </c>
      <c r="L26" s="151">
        <f>J26-SQRT((D21-K21)^2+(L22-D22)^2)</f>
        <v>2.4142240879267141E-4</v>
      </c>
      <c r="M26" s="69"/>
      <c r="N26" s="152">
        <f>1-N25</f>
        <v>0.43583139122963133</v>
      </c>
      <c r="O26" s="153" t="s">
        <v>68</v>
      </c>
      <c r="P26" s="154"/>
      <c r="Q26" s="155"/>
      <c r="R26" s="154"/>
      <c r="S26" s="154"/>
      <c r="T26" s="154"/>
      <c r="U26" s="156"/>
      <c r="W26" s="157"/>
      <c r="X26" s="158"/>
      <c r="Y26" s="154"/>
      <c r="Z26" s="158"/>
      <c r="AA26" s="158"/>
      <c r="AB26" s="158"/>
      <c r="AC26" s="158"/>
      <c r="AD26" s="159"/>
    </row>
    <row r="27" spans="2:30" ht="13.5" hidden="1" customHeight="1" x14ac:dyDescent="0.3">
      <c r="F27" s="160"/>
      <c r="G27" s="70"/>
      <c r="H27" s="70"/>
      <c r="I27" s="56" t="s">
        <v>69</v>
      </c>
      <c r="J27" s="161">
        <f>1/J26</f>
        <v>139.25960030860358</v>
      </c>
      <c r="K27" s="162">
        <f>1/K26</f>
        <v>72.153591600021244</v>
      </c>
      <c r="L27" s="163">
        <f>1/L26</f>
        <v>4142.1175648147037</v>
      </c>
      <c r="M27" s="69"/>
      <c r="N27" s="70"/>
      <c r="O27" s="1"/>
      <c r="P27" s="1"/>
      <c r="U27" s="1"/>
      <c r="V27" s="1"/>
      <c r="W27" s="6"/>
      <c r="X27" s="6"/>
      <c r="Y27" s="6"/>
      <c r="Z27" s="6"/>
      <c r="AA27" s="6"/>
      <c r="AB27" s="6"/>
      <c r="AC27" s="6"/>
    </row>
    <row r="28" spans="2:30" ht="14.25" hidden="1" customHeight="1" x14ac:dyDescent="0.4">
      <c r="G28" s="70"/>
      <c r="H28" s="70"/>
      <c r="K28" s="164"/>
      <c r="L28" s="164"/>
      <c r="M28" s="165"/>
      <c r="N28" s="118"/>
      <c r="O28" s="166"/>
      <c r="P28" s="166" t="s">
        <v>58</v>
      </c>
      <c r="Q28" s="167">
        <f>SQRT((D23*(1-D23)/C21)+(D23*(1-D23)/C22))</f>
        <v>3.3847736299692979E-3</v>
      </c>
      <c r="R28" s="168"/>
      <c r="S28" s="168"/>
      <c r="T28" s="168"/>
      <c r="U28" s="127"/>
      <c r="V28" s="1"/>
    </row>
    <row r="29" spans="2:30" ht="31.5" hidden="1" customHeight="1" x14ac:dyDescent="0.35">
      <c r="F29" s="169"/>
      <c r="G29" s="190"/>
      <c r="H29" s="410"/>
      <c r="I29" s="411"/>
      <c r="J29" s="170">
        <f>J27</f>
        <v>139.25960030860358</v>
      </c>
      <c r="K29" s="170">
        <f>K27</f>
        <v>72.153591600021244</v>
      </c>
      <c r="L29" s="170">
        <f>L27</f>
        <v>4142.1175648147037</v>
      </c>
      <c r="M29" s="70"/>
      <c r="N29" s="171" t="s">
        <v>70</v>
      </c>
      <c r="O29" s="172"/>
      <c r="P29" s="8" t="s">
        <v>71</v>
      </c>
      <c r="Q29" s="8"/>
      <c r="R29" s="111"/>
      <c r="S29" s="173" t="s">
        <v>72</v>
      </c>
      <c r="T29" s="8"/>
      <c r="U29" s="132"/>
      <c r="V29" s="1"/>
    </row>
    <row r="30" spans="2:30" s="7" customFormat="1" ht="14.25" hidden="1" customHeight="1" x14ac:dyDescent="0.4">
      <c r="F30" s="174"/>
      <c r="G30" s="412"/>
      <c r="H30" s="413"/>
      <c r="I30" s="410"/>
      <c r="J30" s="303">
        <f>(1-D22)*J27</f>
        <v>136.84639506234291</v>
      </c>
      <c r="K30" s="175">
        <f>(1-D22)*K27</f>
        <v>70.903254636538207</v>
      </c>
      <c r="L30" s="175">
        <f>(1-D22)*L27</f>
        <v>4070.3395343170691</v>
      </c>
      <c r="M30" s="70"/>
      <c r="N30" s="176"/>
      <c r="O30" s="177" t="s">
        <v>73</v>
      </c>
      <c r="Q30" s="178" t="s">
        <v>74</v>
      </c>
      <c r="R30" s="177" t="s">
        <v>75</v>
      </c>
      <c r="S30" s="8"/>
      <c r="T30" s="8"/>
      <c r="U30" s="134"/>
    </row>
    <row r="31" spans="2:30" s="7" customFormat="1" ht="14.25" hidden="1" customHeight="1" x14ac:dyDescent="0.4">
      <c r="F31" s="179"/>
      <c r="G31" s="412"/>
      <c r="H31" s="413"/>
      <c r="I31" s="410"/>
      <c r="J31" s="180">
        <f>J27*J26</f>
        <v>1</v>
      </c>
      <c r="K31" s="180">
        <f>K27*K26</f>
        <v>1</v>
      </c>
      <c r="L31" s="180">
        <f>L27*L26</f>
        <v>1</v>
      </c>
      <c r="M31" s="80"/>
      <c r="N31" s="140">
        <f>ABS((J26/Q28))-I21</f>
        <v>0.16154671685874789</v>
      </c>
      <c r="O31" s="177" t="s">
        <v>76</v>
      </c>
      <c r="P31" s="8"/>
      <c r="Q31" s="8"/>
      <c r="R31" s="109"/>
      <c r="S31" s="112"/>
      <c r="T31" s="112"/>
      <c r="U31" s="130"/>
    </row>
    <row r="32" spans="2:30" s="7" customFormat="1" ht="12.75" hidden="1" customHeight="1" x14ac:dyDescent="0.3">
      <c r="B32" s="181"/>
      <c r="C32" s="182"/>
      <c r="E32" s="183"/>
      <c r="G32" s="414"/>
      <c r="H32" s="415"/>
      <c r="I32" s="416"/>
      <c r="J32" s="302">
        <f>(D22-J26)*J27</f>
        <v>1.4132052462606706</v>
      </c>
      <c r="K32" s="184">
        <f>(D22-K26)*K27</f>
        <v>0.2503369634830393</v>
      </c>
      <c r="L32" s="184">
        <f>(D22-L26)*L27</f>
        <v>70.778030497634333</v>
      </c>
      <c r="M32" s="80"/>
      <c r="N32" s="144">
        <f>NORMSDIST(N31)</f>
        <v>0.56416859010861509</v>
      </c>
      <c r="O32" s="113" t="s">
        <v>77</v>
      </c>
      <c r="P32" s="145"/>
      <c r="Q32" s="8"/>
      <c r="R32" s="8"/>
      <c r="S32" s="8"/>
      <c r="T32" s="8"/>
      <c r="U32" s="134"/>
    </row>
    <row r="33" spans="2:22" s="7" customFormat="1" ht="12.75" hidden="1" customHeight="1" x14ac:dyDescent="0.3">
      <c r="B33" s="181"/>
      <c r="G33" s="185"/>
      <c r="H33" s="186"/>
      <c r="I33" s="186"/>
      <c r="J33" s="187"/>
      <c r="K33" s="187"/>
      <c r="L33" s="187"/>
      <c r="M33" s="80"/>
      <c r="N33" s="152">
        <f>1-N32</f>
        <v>0.43583140989138491</v>
      </c>
      <c r="O33" s="154" t="s">
        <v>78</v>
      </c>
      <c r="P33" s="154"/>
      <c r="Q33" s="155"/>
      <c r="R33" s="188"/>
      <c r="S33" s="189"/>
      <c r="T33" s="189"/>
      <c r="U33" s="156"/>
    </row>
    <row r="34" spans="2:22" ht="15.75" hidden="1" customHeight="1" x14ac:dyDescent="0.35">
      <c r="B34" s="191" t="s">
        <v>79</v>
      </c>
      <c r="C34" s="192"/>
      <c r="D34" s="192"/>
      <c r="E34" s="192"/>
      <c r="F34" s="193"/>
      <c r="G34" s="414"/>
      <c r="H34" s="415"/>
      <c r="I34" s="416"/>
      <c r="J34" s="184">
        <f>ABS(D22*J27)</f>
        <v>2.4132052462606706</v>
      </c>
      <c r="K34" s="184">
        <f>ABS(D22*L27)</f>
        <v>71.778030497634333</v>
      </c>
      <c r="L34" s="184">
        <f>ABS(D22*K27)</f>
        <v>1.2503369634830392</v>
      </c>
      <c r="M34" s="70"/>
      <c r="N34" s="69"/>
      <c r="O34" s="8"/>
      <c r="P34" s="8"/>
      <c r="Q34" s="8"/>
      <c r="R34" s="8"/>
      <c r="S34" s="8"/>
      <c r="T34" s="8"/>
      <c r="U34" s="8"/>
      <c r="V34" s="8"/>
    </row>
    <row r="35" spans="2:22" s="6" customFormat="1" ht="12.75" hidden="1" customHeight="1" x14ac:dyDescent="0.3">
      <c r="B35" s="71"/>
      <c r="C35" s="194" t="s">
        <v>15</v>
      </c>
      <c r="D35" s="195" t="s">
        <v>16</v>
      </c>
      <c r="E35" s="8"/>
      <c r="F35" s="193"/>
      <c r="G35" s="196"/>
      <c r="H35" s="197"/>
      <c r="I35" s="198"/>
      <c r="J35" s="199"/>
      <c r="K35" s="199"/>
      <c r="L35" s="199"/>
      <c r="M35" s="104"/>
      <c r="N35" s="80"/>
      <c r="O35" s="7"/>
      <c r="P35" s="7"/>
      <c r="Q35" s="7"/>
      <c r="R35" s="7"/>
    </row>
    <row r="36" spans="2:22" ht="12.75" hidden="1" customHeight="1" x14ac:dyDescent="0.3">
      <c r="B36" s="200" t="s">
        <v>80</v>
      </c>
      <c r="C36" s="201" t="s">
        <v>17</v>
      </c>
      <c r="D36" s="202" t="s">
        <v>18</v>
      </c>
      <c r="E36" s="3" t="s">
        <v>19</v>
      </c>
      <c r="G36" s="70"/>
      <c r="H36" s="70"/>
      <c r="I36" s="70"/>
      <c r="J36" s="70"/>
      <c r="K36" s="70"/>
      <c r="L36" s="70"/>
      <c r="M36" s="70"/>
      <c r="N36" s="80"/>
      <c r="O36" s="7"/>
      <c r="P36" s="7"/>
      <c r="Q36" s="7"/>
      <c r="R36" s="7"/>
      <c r="U36" s="1"/>
      <c r="V36" s="1"/>
    </row>
    <row r="37" spans="2:22" ht="12.75" hidden="1" customHeight="1" x14ac:dyDescent="0.3">
      <c r="B37" s="203" t="s">
        <v>81</v>
      </c>
      <c r="C37" s="204">
        <f>F7*D9/F9</f>
        <v>32.493130416402451</v>
      </c>
      <c r="D37" s="204">
        <f>F7*E9/F9</f>
        <v>2332.5068695835976</v>
      </c>
      <c r="E37" s="204">
        <f>F7</f>
        <v>2365</v>
      </c>
      <c r="G37" s="10"/>
      <c r="H37" s="205" t="s">
        <v>82</v>
      </c>
      <c r="I37" s="206">
        <f>CHIINV(0.05,K38)</f>
        <v>3.8414588206941236</v>
      </c>
      <c r="J37" s="70"/>
      <c r="K37" s="70"/>
      <c r="L37" s="70"/>
      <c r="M37" s="70"/>
      <c r="N37" s="80"/>
      <c r="O37" s="207"/>
      <c r="P37" s="207"/>
      <c r="Q37" s="207"/>
      <c r="R37" s="7"/>
      <c r="U37" s="1"/>
      <c r="V37" s="1"/>
    </row>
    <row r="38" spans="2:22" ht="12.75" hidden="1" customHeight="1" x14ac:dyDescent="0.3">
      <c r="B38" s="208" t="s">
        <v>83</v>
      </c>
      <c r="C38" s="204">
        <f>F8*D9/F9</f>
        <v>32.506869583597549</v>
      </c>
      <c r="D38" s="204">
        <f>F8*E9/F9</f>
        <v>2333.4931304164024</v>
      </c>
      <c r="E38" s="204">
        <f>F8</f>
        <v>2366</v>
      </c>
      <c r="F38" s="6"/>
      <c r="G38" s="209"/>
      <c r="H38" s="209"/>
      <c r="I38" s="210"/>
      <c r="J38" s="211" t="s">
        <v>84</v>
      </c>
      <c r="K38" s="212">
        <f>(COUNT(C37:D37)-1)*(COUNT(C37:C38)-1)</f>
        <v>1</v>
      </c>
      <c r="L38" s="70"/>
      <c r="M38" s="70"/>
      <c r="N38" s="70"/>
      <c r="O38" s="207"/>
      <c r="P38" s="207"/>
      <c r="Q38" s="207"/>
      <c r="R38" s="7"/>
      <c r="U38" s="1"/>
      <c r="V38" s="1"/>
    </row>
    <row r="39" spans="2:22" ht="12.75" hidden="1" customHeight="1" x14ac:dyDescent="0.3">
      <c r="B39" s="213" t="s">
        <v>85</v>
      </c>
      <c r="C39" s="204">
        <f>SUM(C37:C38)</f>
        <v>65</v>
      </c>
      <c r="D39" s="204">
        <f>SUM(D37:D38)</f>
        <v>4666</v>
      </c>
      <c r="E39" s="214">
        <f>SUM(E37:E38)</f>
        <v>4731</v>
      </c>
      <c r="F39" s="6"/>
      <c r="G39" s="104"/>
      <c r="H39" s="215" t="s">
        <v>86</v>
      </c>
      <c r="I39" s="216" t="s">
        <v>87</v>
      </c>
      <c r="J39" s="70"/>
      <c r="K39" s="70"/>
      <c r="L39" s="70"/>
      <c r="M39" s="70"/>
      <c r="N39" s="70"/>
      <c r="O39" s="207"/>
      <c r="P39" s="217"/>
      <c r="Q39" s="207"/>
      <c r="R39" s="7"/>
      <c r="U39" s="1"/>
      <c r="V39" s="1"/>
    </row>
    <row r="40" spans="2:22" ht="12.75" hidden="1" customHeight="1" x14ac:dyDescent="0.3">
      <c r="B40" s="213"/>
      <c r="C40" s="218"/>
      <c r="D40" s="218"/>
      <c r="E40" s="219"/>
      <c r="F40" s="6"/>
      <c r="G40" s="104"/>
      <c r="H40" s="215" t="s">
        <v>88</v>
      </c>
      <c r="I40" s="216" t="s">
        <v>89</v>
      </c>
      <c r="J40" s="70"/>
      <c r="K40" s="70"/>
      <c r="L40" s="70"/>
      <c r="M40" s="70"/>
      <c r="N40" s="70"/>
      <c r="O40" s="220"/>
      <c r="P40" s="220"/>
      <c r="Q40" s="220"/>
      <c r="R40" s="7"/>
      <c r="U40" s="1"/>
      <c r="V40" s="1"/>
    </row>
    <row r="41" spans="2:22" ht="26.25" hidden="1" customHeight="1" x14ac:dyDescent="0.3">
      <c r="B41" s="221"/>
      <c r="C41" s="561" t="s">
        <v>90</v>
      </c>
      <c r="D41" s="562"/>
      <c r="G41" s="70"/>
      <c r="H41" s="222"/>
      <c r="I41" s="70"/>
      <c r="J41" s="70"/>
      <c r="K41" s="70"/>
      <c r="L41" s="70"/>
      <c r="M41" s="70"/>
      <c r="N41" s="70"/>
      <c r="O41" s="1"/>
      <c r="P41" s="1"/>
      <c r="U41" s="1"/>
      <c r="V41" s="1"/>
    </row>
    <row r="42" spans="2:22" ht="12.75" hidden="1" customHeight="1" x14ac:dyDescent="0.3">
      <c r="B42" s="221"/>
      <c r="C42" s="223">
        <f>(D7-C37)^2/C37</f>
        <v>2.2199542902030696</v>
      </c>
      <c r="D42" s="223">
        <f>(E7-D37)^2/D37</f>
        <v>3.0925209786369274E-2</v>
      </c>
      <c r="F42" s="224"/>
      <c r="G42" s="225"/>
      <c r="H42" s="70"/>
      <c r="I42" s="70"/>
      <c r="J42" s="80"/>
      <c r="K42" s="80"/>
      <c r="L42" s="226"/>
      <c r="M42" s="70"/>
      <c r="N42" s="70"/>
      <c r="O42" s="1"/>
      <c r="P42" s="1"/>
      <c r="U42" s="1"/>
      <c r="V42" s="1"/>
    </row>
    <row r="43" spans="2:22" ht="12.75" hidden="1" customHeight="1" x14ac:dyDescent="0.3">
      <c r="B43" s="221"/>
      <c r="C43" s="223">
        <f>(D8-C38)^2/C38</f>
        <v>2.2190160170457562</v>
      </c>
      <c r="D43" s="223">
        <f>(E8-D38)^2/D38</f>
        <v>3.0912139114439279E-2</v>
      </c>
      <c r="E43" s="65"/>
      <c r="F43" s="227" t="s">
        <v>91</v>
      </c>
      <c r="G43" s="228">
        <f>C45-I37</f>
        <v>0.6593488354555106</v>
      </c>
      <c r="H43" s="70"/>
      <c r="I43" s="70"/>
      <c r="J43" s="80"/>
      <c r="K43" s="80"/>
      <c r="L43" s="70"/>
      <c r="M43" s="70"/>
      <c r="N43" s="70"/>
      <c r="O43" s="1"/>
      <c r="P43" s="1"/>
      <c r="U43" s="1"/>
      <c r="V43" s="1"/>
    </row>
    <row r="44" spans="2:22" ht="12.75" hidden="1" customHeight="1" x14ac:dyDescent="0.3">
      <c r="B44" s="216" t="s">
        <v>92</v>
      </c>
      <c r="D44" s="229"/>
      <c r="G44" s="230" t="s">
        <v>93</v>
      </c>
      <c r="H44" s="70"/>
      <c r="I44" s="70"/>
      <c r="J44" s="80"/>
      <c r="K44" s="80"/>
      <c r="L44" s="70"/>
      <c r="M44" s="70"/>
      <c r="N44" s="70"/>
      <c r="O44" s="1"/>
      <c r="P44" s="1"/>
      <c r="U44" s="1"/>
      <c r="V44" s="1"/>
    </row>
    <row r="45" spans="2:22" ht="13.5" hidden="1" customHeight="1" x14ac:dyDescent="0.3">
      <c r="B45" s="231" t="s">
        <v>94</v>
      </c>
      <c r="C45" s="232">
        <f>SUM(C42:D43)</f>
        <v>4.5008076561496342</v>
      </c>
      <c r="D45" s="8"/>
      <c r="G45" s="230" t="s">
        <v>95</v>
      </c>
      <c r="H45" s="70"/>
      <c r="I45" s="233"/>
      <c r="J45" s="80"/>
      <c r="K45" s="80"/>
      <c r="L45" s="234"/>
      <c r="M45" s="70"/>
      <c r="N45" s="70"/>
      <c r="O45" s="1"/>
      <c r="P45" s="1"/>
      <c r="U45" s="1"/>
      <c r="V45" s="1"/>
    </row>
    <row r="46" spans="2:22" ht="12.75" hidden="1" customHeight="1" x14ac:dyDescent="0.3">
      <c r="B46" s="235" t="s">
        <v>96</v>
      </c>
      <c r="C46" s="236">
        <f>CHIDIST(C45,1)</f>
        <v>3.387884834487917E-2</v>
      </c>
      <c r="E46" s="8"/>
      <c r="F46" s="8"/>
      <c r="G46" s="69"/>
      <c r="H46" s="237"/>
      <c r="I46" s="69"/>
      <c r="J46" s="80"/>
      <c r="K46" s="80"/>
      <c r="L46" s="69"/>
      <c r="M46" s="70"/>
      <c r="N46" s="70"/>
      <c r="O46" s="1"/>
      <c r="P46" s="1"/>
      <c r="U46" s="1"/>
      <c r="V46" s="1"/>
    </row>
    <row r="47" spans="2:22" s="7" customFormat="1" ht="12.75" hidden="1" customHeight="1" x14ac:dyDescent="0.3">
      <c r="B47" s="93"/>
      <c r="E47" s="238"/>
      <c r="F47" s="238"/>
      <c r="G47" s="80"/>
      <c r="H47" s="80"/>
      <c r="I47" s="239"/>
      <c r="J47" s="80"/>
      <c r="K47" s="80"/>
      <c r="L47" s="80"/>
      <c r="M47" s="80"/>
      <c r="N47" s="80"/>
    </row>
    <row r="48" spans="2:22" ht="13.5" hidden="1" customHeight="1" x14ac:dyDescent="0.3">
      <c r="B48" s="71"/>
      <c r="G48" s="70"/>
      <c r="H48" s="70"/>
      <c r="I48" s="70"/>
      <c r="J48" s="80"/>
      <c r="K48" s="80"/>
      <c r="L48" s="70"/>
      <c r="M48" s="70"/>
      <c r="N48" s="70"/>
      <c r="O48" s="1"/>
      <c r="P48" s="1"/>
      <c r="U48" s="1"/>
      <c r="V48" s="1"/>
    </row>
    <row r="49" spans="1:22" ht="12.75" hidden="1" customHeight="1" x14ac:dyDescent="0.3">
      <c r="B49" s="240" t="s">
        <v>97</v>
      </c>
      <c r="C49" s="241"/>
      <c r="D49" s="241"/>
      <c r="E49" s="241"/>
      <c r="F49" s="241"/>
      <c r="G49" s="241"/>
      <c r="H49" s="242"/>
      <c r="I49" s="70"/>
      <c r="J49" s="243" t="s">
        <v>98</v>
      </c>
      <c r="K49" s="244"/>
      <c r="L49" s="245"/>
      <c r="M49" s="245"/>
      <c r="N49" s="245"/>
      <c r="O49" s="127"/>
      <c r="P49" s="1"/>
      <c r="U49" s="1"/>
      <c r="V49" s="1"/>
    </row>
    <row r="50" spans="1:22" ht="12.75" hidden="1" customHeight="1" x14ac:dyDescent="0.3">
      <c r="B50" s="246">
        <f>I2*100</f>
        <v>95</v>
      </c>
      <c r="C50" s="193"/>
      <c r="D50" s="193"/>
      <c r="E50" s="7"/>
      <c r="F50" s="7"/>
      <c r="G50" s="7"/>
      <c r="H50" s="134"/>
      <c r="I50" s="70"/>
      <c r="J50" s="247"/>
      <c r="K50" s="80"/>
      <c r="L50" s="69"/>
      <c r="M50" s="69"/>
      <c r="N50" s="69"/>
      <c r="O50" s="132"/>
      <c r="P50" s="1"/>
      <c r="U50" s="1"/>
      <c r="V50" s="1"/>
    </row>
    <row r="51" spans="1:22" ht="12.75" hidden="1" customHeight="1" x14ac:dyDescent="0.3">
      <c r="B51" s="248" t="s">
        <v>99</v>
      </c>
      <c r="C51" s="249"/>
      <c r="D51" s="249"/>
      <c r="E51" s="250">
        <f>ROUND(G14,2)</f>
        <v>0.59</v>
      </c>
      <c r="F51" s="251">
        <f>ROUND(J26,4)</f>
        <v>7.1999999999999998E-3</v>
      </c>
      <c r="G51" s="252">
        <f>ROUND(J27,0)</f>
        <v>139</v>
      </c>
      <c r="H51" s="253"/>
      <c r="I51" s="70"/>
      <c r="J51" s="254" t="s">
        <v>99</v>
      </c>
      <c r="K51" s="7"/>
      <c r="L51" s="7"/>
      <c r="M51" s="7"/>
      <c r="N51" s="69"/>
      <c r="O51" s="132"/>
      <c r="P51" s="1"/>
      <c r="U51" s="1"/>
      <c r="V51" s="1"/>
    </row>
    <row r="52" spans="1:22" ht="12.75" hidden="1" customHeight="1" x14ac:dyDescent="0.3">
      <c r="B52" s="248" t="s">
        <v>100</v>
      </c>
      <c r="C52" s="8"/>
      <c r="D52" s="8"/>
      <c r="E52" s="250">
        <f>ROUND(H14,2)</f>
        <v>0.36</v>
      </c>
      <c r="F52" s="251">
        <f>ROUND(L26,4)</f>
        <v>2.0000000000000001E-4</v>
      </c>
      <c r="G52" s="252">
        <f>ROUND(L27,0)</f>
        <v>4142</v>
      </c>
      <c r="H52" s="253"/>
      <c r="I52" s="70"/>
      <c r="J52" s="254" t="s">
        <v>100</v>
      </c>
      <c r="K52" s="255" t="str">
        <f>ROUND(J21,4)*100&amp;J54</f>
        <v>1,01%</v>
      </c>
      <c r="L52" s="255" t="str">
        <f>ROUND(K21,4)*100&amp;J54</f>
        <v>0,68%</v>
      </c>
      <c r="M52" s="255" t="str">
        <f>ROUND(L21,4)*100&amp;J54</f>
        <v>1,51%</v>
      </c>
      <c r="N52" s="256" t="str">
        <f>CONCATENATE(K52," ",J51,L52," ",J55," ",M52,J53)</f>
        <v>1,01% (0,68% a 1,51%)</v>
      </c>
      <c r="O52" s="132"/>
      <c r="P52" s="1"/>
      <c r="U52" s="1"/>
      <c r="V52" s="1"/>
    </row>
    <row r="53" spans="1:22" s="6" customFormat="1" ht="12.75" hidden="1" customHeight="1" x14ac:dyDescent="0.3">
      <c r="B53" s="248" t="s">
        <v>101</v>
      </c>
      <c r="C53" s="249">
        <f>ROUND(D7,0)</f>
        <v>24</v>
      </c>
      <c r="D53" s="249">
        <f>ROUND(D8,0)</f>
        <v>41</v>
      </c>
      <c r="E53" s="250">
        <f>ROUND(I14,2)</f>
        <v>0.97</v>
      </c>
      <c r="F53" s="251">
        <f>ROUND(K26,4)</f>
        <v>1.3899999999999999E-2</v>
      </c>
      <c r="G53" s="252">
        <f>ROUND(K27,0)</f>
        <v>72</v>
      </c>
      <c r="H53" s="257">
        <f>ROUND(N32,4)</f>
        <v>0.56420000000000003</v>
      </c>
      <c r="I53" s="104"/>
      <c r="J53" s="254" t="s">
        <v>101</v>
      </c>
      <c r="K53" s="258" t="str">
        <f>ROUND(J22,4)*100&amp;J54</f>
        <v>1,73%</v>
      </c>
      <c r="L53" s="258" t="str">
        <f>ROUND(K22,4)*100&amp;J54</f>
        <v>1,28%</v>
      </c>
      <c r="M53" s="258" t="str">
        <f>ROUND(L22,4)*100&amp;J54</f>
        <v>2,34%</v>
      </c>
      <c r="N53" s="256" t="str">
        <f>CONCATENATE(K53," ",J51,L53," ",J55," ",M53,J53)</f>
        <v>1,73% (1,28% a 2,34%)</v>
      </c>
      <c r="O53" s="134"/>
    </row>
    <row r="54" spans="1:22" ht="12.75" hidden="1" customHeight="1" x14ac:dyDescent="0.3">
      <c r="B54" s="248" t="s">
        <v>102</v>
      </c>
      <c r="C54" s="259" t="s">
        <v>103</v>
      </c>
      <c r="D54" s="259" t="s">
        <v>104</v>
      </c>
      <c r="E54" s="259" t="s">
        <v>27</v>
      </c>
      <c r="F54" s="259" t="s">
        <v>105</v>
      </c>
      <c r="G54" s="260" t="s">
        <v>11</v>
      </c>
      <c r="H54" s="10" t="s">
        <v>106</v>
      </c>
      <c r="I54" s="70"/>
      <c r="J54" s="254" t="s">
        <v>102</v>
      </c>
      <c r="K54" s="258" t="str">
        <f>ROUND(J23,4)*100&amp;J54</f>
        <v>1,37%</v>
      </c>
      <c r="L54" s="258" t="str">
        <f>ROUND(K23,4)*100&amp;J54</f>
        <v>1,08%</v>
      </c>
      <c r="M54" s="258" t="str">
        <f>ROUND(L23,4)*100&amp;J54</f>
        <v>1,75%</v>
      </c>
      <c r="N54" s="256" t="str">
        <f>CONCATENATE(K54," ",J51,L54," ",J55," ",M54,J53)</f>
        <v>1,37% (1,08% a 1,75%)</v>
      </c>
      <c r="O54" s="134"/>
    </row>
    <row r="55" spans="1:22" ht="12.75" hidden="1" customHeight="1" x14ac:dyDescent="0.3">
      <c r="B55" s="261" t="s">
        <v>107</v>
      </c>
      <c r="C55" s="262" t="str">
        <f>CONCATENATE(C53,B56,C21," ",B51,K52,B53)</f>
        <v>24/2365 (1,01%)</v>
      </c>
      <c r="D55" s="56" t="str">
        <f>CONCATENATE(D53,B56,C22," ",B51,K53,B53)</f>
        <v>41/2366 (1,73%)</v>
      </c>
      <c r="E55" s="262" t="str">
        <f>CONCATENATE(E51," ",B51,E52,B52,E53,B53)</f>
        <v>0,59 (0,36-0,97)</v>
      </c>
      <c r="F55" s="262" t="str">
        <f>CONCATENATE(F51*100,B54," ",B51,F52*100,B54," ",B55," ",F53*100,B54,B53)</f>
        <v>0,72% (0,02% a 1,39%)</v>
      </c>
      <c r="G55" s="10" t="str">
        <f>CONCATENATE(G51," ",B51,G53," ",B55," ",G52,B53)</f>
        <v>139 (72 a 4142)</v>
      </c>
      <c r="H55" s="10" t="str">
        <f>CONCATENATE(H53*100,B54)</f>
        <v>56,42%</v>
      </c>
      <c r="I55" s="70"/>
      <c r="J55" s="263" t="s">
        <v>107</v>
      </c>
      <c r="K55" s="8"/>
      <c r="L55" s="8"/>
      <c r="M55" s="8"/>
      <c r="N55" s="69"/>
      <c r="O55" s="132"/>
      <c r="P55" s="1"/>
      <c r="U55" s="1"/>
      <c r="V55" s="1"/>
    </row>
    <row r="56" spans="1:22" ht="13.5" hidden="1" customHeight="1" x14ac:dyDescent="0.3">
      <c r="B56" s="264" t="s">
        <v>108</v>
      </c>
      <c r="C56" s="158"/>
      <c r="D56" s="158"/>
      <c r="E56" s="158"/>
      <c r="F56" s="158"/>
      <c r="G56" s="265"/>
      <c r="H56" s="266"/>
      <c r="I56" s="70"/>
      <c r="J56" s="267" t="s">
        <v>108</v>
      </c>
      <c r="K56" s="158"/>
      <c r="L56" s="158"/>
      <c r="M56" s="158"/>
      <c r="N56" s="268"/>
      <c r="O56" s="156"/>
      <c r="P56" s="1"/>
      <c r="U56" s="1"/>
      <c r="V56" s="1"/>
    </row>
    <row r="57" spans="1:22" hidden="1" x14ac:dyDescent="0.3">
      <c r="B57" s="71"/>
      <c r="G57" s="70"/>
      <c r="H57" s="70"/>
      <c r="I57" s="70"/>
      <c r="J57" s="70"/>
      <c r="K57" s="70"/>
      <c r="L57" s="80"/>
      <c r="M57" s="70"/>
      <c r="N57" s="70"/>
      <c r="O57" s="1"/>
      <c r="P57" s="1"/>
      <c r="U57" s="1"/>
      <c r="V57" s="1"/>
    </row>
    <row r="58" spans="1:22" ht="27" customHeight="1" x14ac:dyDescent="0.3">
      <c r="B58" s="71"/>
      <c r="C58" s="269" t="s">
        <v>103</v>
      </c>
      <c r="D58" s="269" t="s">
        <v>104</v>
      </c>
      <c r="E58" s="270" t="str">
        <f>CONCATENATE(E54," ",B51,H2," ",B50,B54,B53)</f>
        <v>RR (IC 95%)</v>
      </c>
      <c r="F58" s="270" t="str">
        <f>CONCATENATE(F54," ",B51,H2," ",B50,B54,B53)</f>
        <v>RAR (IC 95%)</v>
      </c>
      <c r="G58" s="270" t="str">
        <f>CONCATENATE(G54," ",B51,H2," ",B50,B54,B53)</f>
        <v>NNT (IC 95%)</v>
      </c>
      <c r="H58" s="270" t="s">
        <v>70</v>
      </c>
      <c r="I58" s="271"/>
      <c r="J58" s="304" t="s">
        <v>118</v>
      </c>
      <c r="L58" s="279" t="s">
        <v>110</v>
      </c>
      <c r="M58" s="279" t="s">
        <v>111</v>
      </c>
      <c r="O58" s="270" t="s">
        <v>129</v>
      </c>
      <c r="P58" s="270" t="s">
        <v>111</v>
      </c>
      <c r="R58" s="383" t="s">
        <v>2</v>
      </c>
      <c r="S58" s="384" t="s">
        <v>3</v>
      </c>
      <c r="T58" s="385" t="s">
        <v>1</v>
      </c>
      <c r="U58" s="386" t="s">
        <v>127</v>
      </c>
      <c r="V58" s="1"/>
    </row>
    <row r="59" spans="1:22" ht="21" customHeight="1" x14ac:dyDescent="0.3">
      <c r="B59" s="71"/>
      <c r="C59" s="56" t="str">
        <f t="shared" ref="C59:H59" si="0">C55</f>
        <v>24/2365 (1,01%)</v>
      </c>
      <c r="D59" s="56" t="str">
        <f t="shared" si="0"/>
        <v>41/2366 (1,73%)</v>
      </c>
      <c r="E59" s="56" t="str">
        <f t="shared" si="0"/>
        <v>0,59 (0,36-0,97)</v>
      </c>
      <c r="F59" s="56" t="str">
        <f t="shared" si="0"/>
        <v>0,72% (0,02% a 1,39%)</v>
      </c>
      <c r="G59" s="56" t="str">
        <f t="shared" si="0"/>
        <v>139 (72 a 4142)</v>
      </c>
      <c r="H59" s="56" t="str">
        <f t="shared" si="0"/>
        <v>56,42%</v>
      </c>
      <c r="I59" s="272"/>
      <c r="J59" s="273">
        <f>C46</f>
        <v>3.387884834487917E-2</v>
      </c>
      <c r="L59" s="274">
        <f>IF((K26*L26&lt;0),J23,J21)</f>
        <v>1.014799154334038E-2</v>
      </c>
      <c r="M59" s="274">
        <f>IF((K26*L26&lt;0),J23,J22)</f>
        <v>1.7328825021132713E-2</v>
      </c>
      <c r="O59" s="511">
        <f>L59*100</f>
        <v>1.014799154334038</v>
      </c>
      <c r="P59" s="511">
        <f>M59*100</f>
        <v>1.7328825021132712</v>
      </c>
      <c r="R59" s="289">
        <f>Q14</f>
        <v>59.264710245032255</v>
      </c>
      <c r="S59" s="290">
        <f>R14</f>
        <v>0.21542500433376999</v>
      </c>
      <c r="T59" s="325">
        <f>S14</f>
        <v>0.51986475063398141</v>
      </c>
      <c r="U59" s="326">
        <f>R59+S59+T59</f>
        <v>60</v>
      </c>
      <c r="V59" s="230" t="str">
        <f>I4</f>
        <v>meses</v>
      </c>
    </row>
    <row r="60" spans="1:22" x14ac:dyDescent="0.3">
      <c r="B60" s="71"/>
      <c r="C60" s="430"/>
      <c r="D60" s="430"/>
      <c r="E60" s="230"/>
      <c r="F60" s="430"/>
      <c r="G60" s="230"/>
      <c r="H60" s="230"/>
      <c r="I60" s="230"/>
      <c r="J60" s="230"/>
      <c r="K60" s="230"/>
      <c r="L60" s="230"/>
      <c r="M60" s="230"/>
      <c r="N60" s="230"/>
      <c r="O60" s="275"/>
      <c r="Q60" s="6"/>
      <c r="R60" s="6"/>
      <c r="S60" s="6"/>
      <c r="T60" s="6"/>
    </row>
    <row r="61" spans="1:22" x14ac:dyDescent="0.3">
      <c r="A61" s="329"/>
      <c r="B61" s="374" t="s">
        <v>305</v>
      </c>
      <c r="C61" s="276"/>
      <c r="D61" s="276"/>
      <c r="E61" s="276"/>
      <c r="F61" s="276"/>
      <c r="G61" s="276"/>
      <c r="H61" s="276"/>
      <c r="I61" s="277"/>
      <c r="J61" s="278"/>
      <c r="K61" s="230"/>
      <c r="L61" s="230"/>
      <c r="M61" s="230"/>
      <c r="N61" s="230"/>
      <c r="O61" s="275"/>
    </row>
    <row r="62" spans="1:22" ht="18" customHeight="1" thickBot="1" x14ac:dyDescent="0.35">
      <c r="A62" s="329"/>
      <c r="B62" s="429" t="s">
        <v>153</v>
      </c>
      <c r="C62" s="276"/>
      <c r="D62" s="276"/>
      <c r="E62" s="276"/>
      <c r="F62" s="276"/>
      <c r="G62" s="276"/>
      <c r="H62" s="276"/>
      <c r="I62" s="277"/>
      <c r="J62" s="278"/>
      <c r="K62" s="230"/>
      <c r="L62" s="230"/>
      <c r="M62" s="230"/>
      <c r="N62" s="230"/>
      <c r="O62" s="275"/>
    </row>
    <row r="63" spans="1:22" ht="52" customHeight="1" thickBot="1" x14ac:dyDescent="0.35">
      <c r="A63" s="329"/>
      <c r="B63" s="568" t="s">
        <v>274</v>
      </c>
      <c r="C63" s="569"/>
      <c r="D63" s="569"/>
      <c r="E63" s="569"/>
      <c r="F63" s="569"/>
      <c r="G63" s="569"/>
      <c r="H63" s="570"/>
      <c r="I63" s="329"/>
      <c r="J63" s="329"/>
      <c r="K63" s="329"/>
      <c r="L63" s="329"/>
      <c r="M63" s="329"/>
      <c r="N63" s="329"/>
      <c r="O63" s="563" t="s">
        <v>131</v>
      </c>
      <c r="P63" s="564"/>
      <c r="Q63" s="329"/>
      <c r="R63" s="544" t="s">
        <v>151</v>
      </c>
      <c r="S63" s="545"/>
      <c r="T63" s="545"/>
      <c r="U63" s="546"/>
      <c r="V63" s="329"/>
    </row>
    <row r="64" spans="1:22" ht="47.5" customHeight="1" thickBot="1" x14ac:dyDescent="0.35">
      <c r="A64" s="329"/>
      <c r="B64" s="533" t="s">
        <v>154</v>
      </c>
      <c r="C64" s="381" t="s">
        <v>155</v>
      </c>
      <c r="D64" s="382" t="s">
        <v>156</v>
      </c>
      <c r="E64" s="565" t="s">
        <v>135</v>
      </c>
      <c r="F64" s="566"/>
      <c r="G64" s="566"/>
      <c r="H64" s="567"/>
      <c r="I64" s="329"/>
      <c r="J64" s="329"/>
      <c r="K64" s="329"/>
      <c r="L64" s="329"/>
      <c r="M64" s="329"/>
      <c r="N64" s="329"/>
      <c r="O64" s="536" t="s">
        <v>157</v>
      </c>
      <c r="P64" s="537"/>
      <c r="Q64" s="329"/>
      <c r="R64" s="547" t="s">
        <v>125</v>
      </c>
      <c r="S64" s="549" t="s">
        <v>126</v>
      </c>
      <c r="T64" s="551" t="s">
        <v>150</v>
      </c>
      <c r="U64" s="553" t="s">
        <v>128</v>
      </c>
      <c r="V64" s="329"/>
    </row>
    <row r="65" spans="1:22" ht="42.5" customHeight="1" thickBot="1" x14ac:dyDescent="0.35">
      <c r="A65" s="329"/>
      <c r="B65" s="534"/>
      <c r="C65" s="330" t="s">
        <v>132</v>
      </c>
      <c r="D65" s="331" t="s">
        <v>132</v>
      </c>
      <c r="E65" s="332" t="s">
        <v>124</v>
      </c>
      <c r="F65" s="333" t="s">
        <v>137</v>
      </c>
      <c r="G65" s="333" t="s">
        <v>158</v>
      </c>
      <c r="H65" s="334" t="s">
        <v>109</v>
      </c>
      <c r="I65" s="329"/>
      <c r="J65" s="335" t="s">
        <v>133</v>
      </c>
      <c r="L65" s="83" t="s">
        <v>110</v>
      </c>
      <c r="M65" s="83" t="s">
        <v>111</v>
      </c>
      <c r="N65" s="329"/>
      <c r="O65" s="474" t="s">
        <v>204</v>
      </c>
      <c r="P65" s="475" t="s">
        <v>205</v>
      </c>
      <c r="Q65" s="329"/>
      <c r="R65" s="548"/>
      <c r="S65" s="550"/>
      <c r="T65" s="552"/>
      <c r="U65" s="554"/>
      <c r="V65" s="329"/>
    </row>
    <row r="66" spans="1:22" ht="23.5" customHeight="1" x14ac:dyDescent="0.3">
      <c r="A66" s="329"/>
      <c r="B66" s="427" t="s">
        <v>140</v>
      </c>
      <c r="C66" s="314"/>
      <c r="D66" s="314"/>
      <c r="E66" s="315"/>
      <c r="F66" s="315"/>
      <c r="G66" s="315"/>
      <c r="H66" s="315"/>
      <c r="I66" s="311"/>
      <c r="J66" s="316"/>
      <c r="K66" s="317"/>
      <c r="L66" s="317"/>
      <c r="M66" s="317"/>
      <c r="N66" s="317"/>
      <c r="O66" s="317"/>
      <c r="P66" s="317"/>
      <c r="Q66" s="329"/>
      <c r="R66" s="329"/>
      <c r="S66" s="329"/>
      <c r="T66" s="329"/>
      <c r="U66" s="329"/>
      <c r="V66" s="329"/>
    </row>
    <row r="67" spans="1:22" ht="26" customHeight="1" x14ac:dyDescent="0.3">
      <c r="A67" s="329"/>
      <c r="B67" s="431" t="s">
        <v>136</v>
      </c>
      <c r="C67" s="320" t="s">
        <v>159</v>
      </c>
      <c r="D67" s="320" t="s">
        <v>160</v>
      </c>
      <c r="E67" s="320" t="s">
        <v>161</v>
      </c>
      <c r="F67" s="320" t="s">
        <v>162</v>
      </c>
      <c r="G67" s="320" t="s">
        <v>163</v>
      </c>
      <c r="H67" s="449" t="s">
        <v>164</v>
      </c>
      <c r="I67" s="311"/>
      <c r="J67" s="324">
        <v>0.79620218308929025</v>
      </c>
      <c r="K67" s="312"/>
      <c r="L67" s="318">
        <v>9.0255759881631786E-2</v>
      </c>
      <c r="M67" s="318">
        <v>9.0255759881631786E-2</v>
      </c>
      <c r="N67" s="312"/>
      <c r="O67" s="445">
        <v>9.0255759881631779</v>
      </c>
      <c r="P67" s="445">
        <v>9.0255759881631779</v>
      </c>
      <c r="Q67" s="437"/>
      <c r="R67" s="396">
        <v>53.7</v>
      </c>
      <c r="S67" s="491">
        <v>0</v>
      </c>
      <c r="T67" s="397">
        <v>2.6754015215553677</v>
      </c>
      <c r="U67" s="442">
        <v>60</v>
      </c>
      <c r="V67" s="371" t="s">
        <v>134</v>
      </c>
    </row>
    <row r="68" spans="1:22" ht="26" customHeight="1" x14ac:dyDescent="0.3">
      <c r="A68" s="329"/>
      <c r="B68" s="432" t="s">
        <v>141</v>
      </c>
      <c r="C68" s="320" t="s">
        <v>165</v>
      </c>
      <c r="D68" s="320" t="s">
        <v>166</v>
      </c>
      <c r="E68" s="320" t="s">
        <v>167</v>
      </c>
      <c r="F68" s="320" t="s">
        <v>168</v>
      </c>
      <c r="G68" s="320" t="s">
        <v>169</v>
      </c>
      <c r="H68" s="449" t="s">
        <v>170</v>
      </c>
      <c r="I68" s="359"/>
      <c r="J68" s="360">
        <v>0.12514088094145331</v>
      </c>
      <c r="K68" s="361"/>
      <c r="L68" s="362">
        <v>3.7201437328260409E-2</v>
      </c>
      <c r="M68" s="362">
        <v>3.7201437328260409E-2</v>
      </c>
      <c r="N68" s="361"/>
      <c r="O68" s="444">
        <v>3.3</v>
      </c>
      <c r="P68" s="444">
        <v>4.0999999999999996</v>
      </c>
      <c r="Q68" s="437"/>
      <c r="R68" s="396">
        <v>58.65</v>
      </c>
      <c r="S68" s="491">
        <v>0</v>
      </c>
      <c r="T68" s="397">
        <v>1.35</v>
      </c>
      <c r="U68" s="442">
        <v>60</v>
      </c>
      <c r="V68" s="371" t="s">
        <v>134</v>
      </c>
    </row>
    <row r="69" spans="1:22" ht="7.5" customHeight="1" x14ac:dyDescent="0.3">
      <c r="A69" s="329"/>
      <c r="B69" s="433"/>
      <c r="C69" s="435"/>
      <c r="D69" s="435"/>
      <c r="E69" s="435"/>
      <c r="F69" s="435"/>
      <c r="G69" s="435"/>
      <c r="H69" s="435"/>
      <c r="I69" s="313"/>
      <c r="J69" s="313"/>
      <c r="K69" s="313"/>
      <c r="L69" s="313"/>
      <c r="M69" s="313"/>
      <c r="N69" s="313"/>
      <c r="O69" s="492"/>
      <c r="P69" s="492"/>
      <c r="Q69" s="329"/>
      <c r="R69" s="398"/>
      <c r="S69" s="465"/>
      <c r="T69" s="398"/>
      <c r="U69" s="443"/>
      <c r="V69" s="370"/>
    </row>
    <row r="70" spans="1:22" ht="26" customHeight="1" x14ac:dyDescent="0.3">
      <c r="A70" s="329"/>
      <c r="B70" s="432" t="s">
        <v>171</v>
      </c>
      <c r="C70" s="320" t="s">
        <v>173</v>
      </c>
      <c r="D70" s="320" t="s">
        <v>174</v>
      </c>
      <c r="E70" s="320" t="s">
        <v>175</v>
      </c>
      <c r="F70" s="434" t="s">
        <v>176</v>
      </c>
      <c r="G70" s="463" t="s">
        <v>177</v>
      </c>
      <c r="H70" s="496" t="s">
        <v>178</v>
      </c>
      <c r="I70" s="359"/>
      <c r="J70" s="360">
        <v>3.387884834487917E-2</v>
      </c>
      <c r="K70" s="361"/>
      <c r="L70" s="362">
        <v>1.014799154334038E-2</v>
      </c>
      <c r="M70" s="362">
        <v>1.7328825021132713E-2</v>
      </c>
      <c r="N70" s="361"/>
      <c r="O70" s="493">
        <v>1.014799154334038</v>
      </c>
      <c r="P70" s="397">
        <v>1.7328825021132712</v>
      </c>
      <c r="Q70" s="437"/>
      <c r="R70" s="396">
        <v>59.264710245032255</v>
      </c>
      <c r="S70" s="441">
        <v>0.21542500433376999</v>
      </c>
      <c r="T70" s="397">
        <v>0.51986475063398141</v>
      </c>
      <c r="U70" s="442">
        <v>60</v>
      </c>
      <c r="V70" s="371" t="s">
        <v>134</v>
      </c>
    </row>
    <row r="71" spans="1:22" ht="18" customHeight="1" x14ac:dyDescent="0.35">
      <c r="A71" s="329"/>
      <c r="B71" s="515" t="s">
        <v>302</v>
      </c>
      <c r="C71" s="516" t="s">
        <v>245</v>
      </c>
      <c r="D71" s="516" t="s">
        <v>277</v>
      </c>
      <c r="E71" s="516" t="s">
        <v>278</v>
      </c>
      <c r="F71" s="517" t="s">
        <v>279</v>
      </c>
      <c r="G71" s="518" t="s">
        <v>280</v>
      </c>
      <c r="H71" s="519" t="s">
        <v>281</v>
      </c>
      <c r="I71" s="359"/>
      <c r="J71" s="360">
        <v>3.3969165765358744E-3</v>
      </c>
      <c r="K71" s="361"/>
      <c r="L71" s="362">
        <v>2.959830866807611E-3</v>
      </c>
      <c r="M71" s="362">
        <v>9.721048182586645E-3</v>
      </c>
      <c r="N71" s="361"/>
      <c r="O71" s="522">
        <v>0.29598308668076112</v>
      </c>
      <c r="P71" s="513">
        <v>0.97210481825866446</v>
      </c>
      <c r="Q71" s="514"/>
      <c r="R71" s="523">
        <v>59.505532035049029</v>
      </c>
      <c r="S71" s="523">
        <v>0.202836519473371</v>
      </c>
      <c r="T71" s="523">
        <v>0.29163144547759934</v>
      </c>
      <c r="U71" s="524">
        <v>60</v>
      </c>
      <c r="V71" s="525" t="s">
        <v>134</v>
      </c>
    </row>
    <row r="72" spans="1:22" ht="18" customHeight="1" x14ac:dyDescent="0.35">
      <c r="A72" s="329"/>
      <c r="B72" s="515" t="s">
        <v>303</v>
      </c>
      <c r="C72" s="516" t="s">
        <v>282</v>
      </c>
      <c r="D72" s="516" t="s">
        <v>283</v>
      </c>
      <c r="E72" s="516" t="s">
        <v>284</v>
      </c>
      <c r="F72" s="517" t="s">
        <v>285</v>
      </c>
      <c r="G72" s="517" t="s">
        <v>286</v>
      </c>
      <c r="H72" s="519" t="s">
        <v>287</v>
      </c>
      <c r="I72" s="359"/>
      <c r="J72" s="360">
        <v>0.86626510924711075</v>
      </c>
      <c r="K72" s="361"/>
      <c r="L72" s="362">
        <v>7.398013105051786E-3</v>
      </c>
      <c r="M72" s="362">
        <v>7.398013105051786E-3</v>
      </c>
      <c r="N72" s="361"/>
      <c r="O72" s="528">
        <v>0.73980131050517861</v>
      </c>
      <c r="P72" s="528">
        <v>0.73980131050517861</v>
      </c>
      <c r="Q72" s="514"/>
      <c r="R72" s="523">
        <v>59.759178209983219</v>
      </c>
      <c r="S72" s="523">
        <v>1.2588484860398985E-2</v>
      </c>
      <c r="T72" s="523">
        <v>0.22823330515638207</v>
      </c>
      <c r="U72" s="524">
        <v>60</v>
      </c>
      <c r="V72" s="525" t="s">
        <v>134</v>
      </c>
    </row>
    <row r="73" spans="1:22" ht="7.5" customHeight="1" x14ac:dyDescent="0.3">
      <c r="A73" s="329"/>
      <c r="B73" s="433"/>
      <c r="C73" s="435"/>
      <c r="D73" s="435"/>
      <c r="E73" s="435"/>
      <c r="F73" s="435"/>
      <c r="G73" s="435"/>
      <c r="H73" s="435"/>
      <c r="I73" s="313"/>
      <c r="J73" s="313"/>
      <c r="K73" s="313"/>
      <c r="L73" s="313"/>
      <c r="M73" s="313"/>
      <c r="N73" s="313"/>
      <c r="O73" s="492"/>
      <c r="P73" s="492"/>
      <c r="Q73" s="329"/>
      <c r="R73" s="398"/>
      <c r="S73" s="465"/>
      <c r="T73" s="398"/>
      <c r="U73" s="443"/>
      <c r="V73" s="370"/>
    </row>
    <row r="74" spans="1:22" ht="25.5" customHeight="1" x14ac:dyDescent="0.3">
      <c r="A74" s="329"/>
      <c r="B74" s="432" t="s">
        <v>172</v>
      </c>
      <c r="C74" s="320" t="s">
        <v>179</v>
      </c>
      <c r="D74" s="320" t="s">
        <v>180</v>
      </c>
      <c r="E74" s="320" t="s">
        <v>181</v>
      </c>
      <c r="F74" s="434" t="s">
        <v>182</v>
      </c>
      <c r="G74" s="434" t="s">
        <v>183</v>
      </c>
      <c r="H74" s="464" t="s">
        <v>184</v>
      </c>
      <c r="I74" s="359"/>
      <c r="J74" s="360">
        <v>0.12856225002721214</v>
      </c>
      <c r="K74" s="361"/>
      <c r="L74" s="362">
        <v>0.11139294018177975</v>
      </c>
      <c r="M74" s="362">
        <v>0.11139294018177975</v>
      </c>
      <c r="N74" s="361"/>
      <c r="O74" s="444">
        <v>10.4</v>
      </c>
      <c r="P74" s="444">
        <v>11.8</v>
      </c>
      <c r="Q74" s="437"/>
      <c r="R74" s="396">
        <v>56.2</v>
      </c>
      <c r="S74" s="491">
        <v>0</v>
      </c>
      <c r="T74" s="397">
        <v>3.8</v>
      </c>
      <c r="U74" s="442">
        <v>60</v>
      </c>
      <c r="V74" s="371" t="s">
        <v>134</v>
      </c>
    </row>
    <row r="75" spans="1:22" ht="7.5" customHeight="1" x14ac:dyDescent="0.3">
      <c r="A75" s="329"/>
      <c r="B75" s="433"/>
      <c r="C75" s="435"/>
      <c r="D75" s="435"/>
      <c r="E75" s="435"/>
      <c r="F75" s="435"/>
      <c r="G75" s="435"/>
      <c r="H75" s="435"/>
      <c r="I75" s="313"/>
      <c r="J75" s="313"/>
      <c r="K75" s="313"/>
      <c r="L75" s="313"/>
      <c r="M75" s="313"/>
      <c r="N75" s="313"/>
      <c r="O75" s="492"/>
      <c r="P75" s="492"/>
      <c r="Q75" s="329"/>
      <c r="R75" s="398"/>
      <c r="S75" s="465"/>
      <c r="T75" s="398"/>
      <c r="U75" s="443"/>
      <c r="V75" s="370"/>
    </row>
    <row r="76" spans="1:22" ht="25" customHeight="1" x14ac:dyDescent="0.3">
      <c r="A76" s="329"/>
      <c r="B76" s="432" t="s">
        <v>185</v>
      </c>
      <c r="C76" s="320" t="s">
        <v>186</v>
      </c>
      <c r="D76" s="320" t="s">
        <v>187</v>
      </c>
      <c r="E76" s="320" t="s">
        <v>188</v>
      </c>
      <c r="F76" s="434" t="s">
        <v>189</v>
      </c>
      <c r="G76" s="463" t="s">
        <v>190</v>
      </c>
      <c r="H76" s="464">
        <v>0.85260000000000002</v>
      </c>
      <c r="I76" s="359"/>
      <c r="J76" s="360">
        <v>2.6318850727776984E-3</v>
      </c>
      <c r="K76" s="361"/>
      <c r="L76" s="362">
        <v>6.4693446088794931E-2</v>
      </c>
      <c r="M76" s="362">
        <v>8.7912087912087919E-2</v>
      </c>
      <c r="N76" s="361"/>
      <c r="O76" s="495">
        <v>6.469344608879493</v>
      </c>
      <c r="P76" s="397">
        <v>8.791208791208792</v>
      </c>
      <c r="Q76" s="437"/>
      <c r="R76" s="396">
        <v>56.666078107938574</v>
      </c>
      <c r="S76" s="441">
        <v>0.69655925469878976</v>
      </c>
      <c r="T76" s="397">
        <v>2.6373626373626378</v>
      </c>
      <c r="U76" s="442">
        <v>60</v>
      </c>
      <c r="V76" s="371" t="s">
        <v>134</v>
      </c>
    </row>
    <row r="77" spans="1:22" ht="7.5" customHeight="1" x14ac:dyDescent="0.3">
      <c r="A77" s="329"/>
      <c r="B77" s="433"/>
      <c r="C77" s="435"/>
      <c r="D77" s="435"/>
      <c r="E77" s="435"/>
      <c r="F77" s="435"/>
      <c r="G77" s="435"/>
      <c r="H77" s="435"/>
      <c r="I77" s="313"/>
      <c r="J77" s="313"/>
      <c r="K77" s="313"/>
      <c r="L77" s="313"/>
      <c r="M77" s="313"/>
      <c r="N77" s="313"/>
      <c r="O77" s="492"/>
      <c r="P77" s="492"/>
      <c r="Q77" s="329"/>
      <c r="R77" s="398"/>
      <c r="S77" s="465"/>
      <c r="T77" s="398"/>
      <c r="U77" s="443"/>
      <c r="V77" s="370"/>
    </row>
    <row r="78" spans="1:22" ht="25" customHeight="1" x14ac:dyDescent="0.3">
      <c r="A78" s="329"/>
      <c r="B78" s="432" t="s">
        <v>152</v>
      </c>
      <c r="C78" s="320" t="s">
        <v>191</v>
      </c>
      <c r="D78" s="320" t="s">
        <v>192</v>
      </c>
      <c r="E78" s="320" t="s">
        <v>193</v>
      </c>
      <c r="F78" s="434" t="s">
        <v>194</v>
      </c>
      <c r="G78" s="463" t="s">
        <v>195</v>
      </c>
      <c r="H78" s="464">
        <v>0.94210000000000005</v>
      </c>
      <c r="I78" s="359"/>
      <c r="J78" s="360">
        <v>4.110475175473021E-4</v>
      </c>
      <c r="K78" s="361"/>
      <c r="L78" s="362">
        <v>1.8181818181818181E-2</v>
      </c>
      <c r="M78" s="362">
        <v>3.4657650042265425E-2</v>
      </c>
      <c r="N78" s="361"/>
      <c r="O78" s="495">
        <v>1.8181818181818181</v>
      </c>
      <c r="P78" s="397">
        <v>3.4657650042265424</v>
      </c>
      <c r="Q78" s="437"/>
      <c r="R78" s="396">
        <v>58.46599554291862</v>
      </c>
      <c r="S78" s="441">
        <v>0.4942749558134174</v>
      </c>
      <c r="T78" s="397">
        <v>1.0397295012679628</v>
      </c>
      <c r="U78" s="442">
        <v>60</v>
      </c>
      <c r="V78" s="371" t="s">
        <v>134</v>
      </c>
    </row>
    <row r="79" spans="1:22" ht="33" customHeight="1" x14ac:dyDescent="0.3">
      <c r="A79" s="329"/>
      <c r="B79" s="431" t="s">
        <v>263</v>
      </c>
      <c r="C79" s="320" t="s">
        <v>196</v>
      </c>
      <c r="D79" s="320" t="s">
        <v>197</v>
      </c>
      <c r="E79" s="320" t="s">
        <v>198</v>
      </c>
      <c r="F79" s="434" t="s">
        <v>199</v>
      </c>
      <c r="G79" s="436" t="s">
        <v>200</v>
      </c>
      <c r="H79" s="449" t="s">
        <v>201</v>
      </c>
      <c r="I79" s="359"/>
      <c r="J79" s="360">
        <v>9.7560133895069048E-6</v>
      </c>
      <c r="K79" s="361"/>
      <c r="L79" s="362">
        <v>3.9746300211416494E-2</v>
      </c>
      <c r="M79" s="362">
        <v>6.8892645815722742E-2</v>
      </c>
      <c r="N79" s="361"/>
      <c r="O79" s="493">
        <v>3.9746300211416492</v>
      </c>
      <c r="P79" s="494">
        <v>6.8892645815722737</v>
      </c>
      <c r="Q79" s="329"/>
      <c r="R79" s="396">
        <v>57.058830257399137</v>
      </c>
      <c r="S79" s="441">
        <v>0.87439036812918758</v>
      </c>
      <c r="T79" s="397">
        <v>2.0667793744716825</v>
      </c>
      <c r="U79" s="442">
        <v>60</v>
      </c>
      <c r="V79" s="371" t="s">
        <v>134</v>
      </c>
    </row>
    <row r="80" spans="1:22" s="6" customFormat="1" ht="27.5" customHeight="1" x14ac:dyDescent="0.3">
      <c r="B80" s="497" t="s">
        <v>264</v>
      </c>
      <c r="C80" s="512"/>
      <c r="D80" s="512"/>
      <c r="E80" s="315"/>
      <c r="F80" s="315"/>
      <c r="G80" s="315"/>
      <c r="H80" s="315"/>
      <c r="I80" s="311"/>
      <c r="J80" s="316"/>
      <c r="K80" s="317"/>
      <c r="L80" s="317"/>
      <c r="M80" s="317"/>
      <c r="N80" s="317"/>
      <c r="O80" s="317"/>
      <c r="P80" s="317"/>
      <c r="Q80" s="329"/>
      <c r="R80" s="329"/>
      <c r="S80" s="329"/>
      <c r="T80" s="329"/>
      <c r="U80" s="329"/>
      <c r="V80" s="329"/>
    </row>
    <row r="81" spans="1:22" s="6" customFormat="1" ht="31" customHeight="1" x14ac:dyDescent="0.3">
      <c r="B81" s="498" t="s">
        <v>265</v>
      </c>
      <c r="C81" s="499" t="s">
        <v>266</v>
      </c>
      <c r="D81" s="499" t="s">
        <v>267</v>
      </c>
      <c r="E81" s="499" t="s">
        <v>268</v>
      </c>
      <c r="F81" s="499" t="s">
        <v>269</v>
      </c>
      <c r="G81" s="510" t="s">
        <v>270</v>
      </c>
      <c r="H81" s="496" t="s">
        <v>271</v>
      </c>
      <c r="I81" s="500"/>
      <c r="J81" s="501">
        <v>4.1370725955411206E-2</v>
      </c>
      <c r="K81" s="502"/>
      <c r="L81" s="503">
        <v>0.11205073995771671</v>
      </c>
      <c r="M81" s="503">
        <v>0.13144547759932376</v>
      </c>
      <c r="N81" s="502"/>
      <c r="O81" s="506">
        <v>11.20507399577167</v>
      </c>
      <c r="P81" s="376">
        <v>13.144547759932376</v>
      </c>
      <c r="Q81" s="504"/>
      <c r="R81" s="505">
        <v>55.474793542772076</v>
      </c>
      <c r="S81" s="509">
        <v>0.58184212924821166</v>
      </c>
      <c r="T81" s="507">
        <v>3.943364327979713</v>
      </c>
      <c r="U81" s="395">
        <v>60</v>
      </c>
      <c r="V81" s="508" t="s">
        <v>134</v>
      </c>
    </row>
    <row r="82" spans="1:22" s="6" customFormat="1" ht="18" customHeight="1" x14ac:dyDescent="0.35">
      <c r="B82" s="520" t="s">
        <v>300</v>
      </c>
      <c r="C82" s="516" t="s">
        <v>294</v>
      </c>
      <c r="D82" s="516" t="s">
        <v>295</v>
      </c>
      <c r="E82" s="516" t="s">
        <v>296</v>
      </c>
      <c r="F82" s="517" t="s">
        <v>297</v>
      </c>
      <c r="G82" s="518" t="s">
        <v>298</v>
      </c>
      <c r="H82" s="519" t="s">
        <v>299</v>
      </c>
      <c r="I82" s="359"/>
      <c r="J82" s="360">
        <v>1.1725049427894119E-3</v>
      </c>
      <c r="K82" s="361"/>
      <c r="L82" s="362">
        <v>8.8794926004228336E-2</v>
      </c>
      <c r="M82" s="362">
        <v>0.11749788672865596</v>
      </c>
      <c r="N82" s="361"/>
      <c r="O82" s="527">
        <v>8.8794926004228341</v>
      </c>
      <c r="P82" s="526">
        <v>11.749788672865597</v>
      </c>
      <c r="Q82" s="514"/>
      <c r="R82" s="523">
        <v>55.613974576407493</v>
      </c>
      <c r="S82" s="523">
        <v>0.86108882173282897</v>
      </c>
      <c r="T82" s="523">
        <v>3.5249366018596788</v>
      </c>
      <c r="U82" s="524">
        <v>60</v>
      </c>
      <c r="V82" s="525" t="s">
        <v>134</v>
      </c>
    </row>
    <row r="83" spans="1:22" s="6" customFormat="1" ht="18" customHeight="1" x14ac:dyDescent="0.35">
      <c r="B83" s="520" t="s">
        <v>301</v>
      </c>
      <c r="C83" s="516" t="s">
        <v>288</v>
      </c>
      <c r="D83" s="516" t="s">
        <v>289</v>
      </c>
      <c r="E83" s="516" t="s">
        <v>290</v>
      </c>
      <c r="F83" s="517" t="s">
        <v>291</v>
      </c>
      <c r="G83" s="521" t="s">
        <v>292</v>
      </c>
      <c r="H83" s="519" t="s">
        <v>293</v>
      </c>
      <c r="I83" s="359"/>
      <c r="J83" s="360">
        <v>1.782035361187171E-2</v>
      </c>
      <c r="K83" s="361"/>
      <c r="L83" s="362">
        <v>2.3255813953488372E-2</v>
      </c>
      <c r="M83" s="362">
        <v>1.3947590870667794E-2</v>
      </c>
      <c r="N83" s="361"/>
      <c r="O83" s="526">
        <v>2.3255813953488373</v>
      </c>
      <c r="P83" s="527">
        <v>1.3947590870667794</v>
      </c>
      <c r="Q83" s="514"/>
      <c r="R83" s="523">
        <v>59.860818966364583</v>
      </c>
      <c r="S83" s="523">
        <v>-0.27924669248461736</v>
      </c>
      <c r="T83" s="523">
        <v>0.41842772612003382</v>
      </c>
      <c r="U83" s="524">
        <v>60</v>
      </c>
      <c r="V83" s="525" t="s">
        <v>134</v>
      </c>
    </row>
    <row r="84" spans="1:22" ht="6.5" customHeight="1" x14ac:dyDescent="0.3">
      <c r="A84" s="329"/>
      <c r="B84" s="404"/>
      <c r="C84" s="317"/>
      <c r="D84" s="317"/>
      <c r="E84" s="317"/>
      <c r="F84" s="317"/>
      <c r="G84" s="357"/>
      <c r="H84" s="349"/>
      <c r="I84" s="359"/>
      <c r="J84" s="350"/>
      <c r="K84" s="312"/>
      <c r="L84" s="318"/>
      <c r="M84" s="318"/>
      <c r="N84" s="312"/>
      <c r="O84" s="351"/>
      <c r="P84" s="352"/>
      <c r="Q84" s="329"/>
      <c r="R84" s="363"/>
      <c r="S84" s="364"/>
      <c r="T84" s="365"/>
      <c r="U84" s="366"/>
      <c r="V84" s="312"/>
    </row>
    <row r="85" spans="1:22" ht="28.5" customHeight="1" x14ac:dyDescent="0.3">
      <c r="A85" s="329"/>
      <c r="B85" s="532" t="s">
        <v>261</v>
      </c>
      <c r="C85" s="532"/>
      <c r="D85" s="532"/>
      <c r="E85" s="532"/>
      <c r="F85" s="532"/>
      <c r="G85" s="532"/>
      <c r="H85" s="532"/>
      <c r="I85" s="532"/>
      <c r="J85" s="532"/>
      <c r="K85" s="532"/>
      <c r="L85" s="532"/>
      <c r="M85" s="532"/>
      <c r="N85" s="532"/>
      <c r="O85" s="532"/>
      <c r="P85" s="532"/>
      <c r="Q85" s="311"/>
      <c r="R85" s="311"/>
      <c r="S85" s="311"/>
      <c r="T85" s="311"/>
      <c r="U85" s="311"/>
      <c r="V85" s="311"/>
    </row>
    <row r="86" spans="1:22" ht="18" customHeight="1" x14ac:dyDescent="0.3">
      <c r="A86" s="329"/>
      <c r="B86" s="543" t="s">
        <v>304</v>
      </c>
      <c r="C86" s="543"/>
      <c r="D86" s="543"/>
      <c r="E86" s="543"/>
      <c r="F86" s="543"/>
      <c r="G86" s="543"/>
      <c r="H86" s="543"/>
      <c r="I86" s="543"/>
      <c r="J86" s="543"/>
      <c r="K86" s="543"/>
      <c r="L86" s="543"/>
      <c r="M86" s="543"/>
      <c r="N86" s="543"/>
      <c r="O86" s="543"/>
      <c r="P86" s="543"/>
      <c r="Q86" s="329"/>
      <c r="R86" s="329"/>
      <c r="S86" s="329"/>
      <c r="T86" s="329"/>
      <c r="U86" s="329"/>
      <c r="V86" s="312"/>
    </row>
    <row r="87" spans="1:22" ht="12" customHeight="1" thickBot="1" x14ac:dyDescent="0.35">
      <c r="A87" s="329"/>
      <c r="B87" s="321"/>
      <c r="C87" s="317"/>
      <c r="D87" s="317"/>
      <c r="E87" s="317"/>
      <c r="F87" s="317"/>
      <c r="G87" s="357"/>
      <c r="H87" s="349"/>
      <c r="I87" s="311"/>
      <c r="J87" s="350"/>
      <c r="K87" s="312"/>
      <c r="L87" s="318"/>
      <c r="M87" s="318"/>
      <c r="N87" s="312"/>
      <c r="O87" s="351"/>
      <c r="P87" s="352"/>
      <c r="U87" s="1"/>
      <c r="V87" s="275"/>
    </row>
    <row r="88" spans="1:22" ht="39.75" customHeight="1" thickBot="1" x14ac:dyDescent="0.35">
      <c r="A88" s="329"/>
      <c r="B88" s="424" t="s">
        <v>146</v>
      </c>
      <c r="C88" s="378"/>
      <c r="D88" s="378"/>
      <c r="E88" s="378"/>
      <c r="F88" s="378"/>
      <c r="G88" s="378"/>
      <c r="H88" s="379"/>
      <c r="I88" s="329"/>
      <c r="J88" s="329"/>
      <c r="K88" s="329"/>
      <c r="L88" s="329"/>
      <c r="M88" s="329"/>
      <c r="N88" s="329"/>
      <c r="O88" s="541" t="s">
        <v>131</v>
      </c>
      <c r="P88" s="542"/>
      <c r="U88" s="1"/>
    </row>
    <row r="89" spans="1:22" ht="38.25" customHeight="1" thickBot="1" x14ac:dyDescent="0.35">
      <c r="A89" s="329"/>
      <c r="B89" s="533" t="s">
        <v>154</v>
      </c>
      <c r="C89" s="381" t="s">
        <v>202</v>
      </c>
      <c r="D89" s="382" t="s">
        <v>203</v>
      </c>
      <c r="E89" s="538" t="s">
        <v>135</v>
      </c>
      <c r="F89" s="539"/>
      <c r="G89" s="539"/>
      <c r="H89" s="540"/>
      <c r="I89" s="329"/>
      <c r="J89" s="329"/>
      <c r="K89" s="329"/>
      <c r="L89" s="329"/>
      <c r="M89" s="329"/>
      <c r="N89" s="329"/>
      <c r="O89" s="536" t="s">
        <v>157</v>
      </c>
      <c r="P89" s="537"/>
      <c r="R89" s="353"/>
      <c r="S89" s="354"/>
      <c r="T89" s="355"/>
      <c r="U89" s="356"/>
    </row>
    <row r="90" spans="1:22" ht="35.5" customHeight="1" thickBot="1" x14ac:dyDescent="0.35">
      <c r="A90" s="329"/>
      <c r="B90" s="534"/>
      <c r="C90" s="330" t="s">
        <v>132</v>
      </c>
      <c r="D90" s="331" t="s">
        <v>132</v>
      </c>
      <c r="E90" s="332" t="s">
        <v>124</v>
      </c>
      <c r="F90" s="333" t="s">
        <v>137</v>
      </c>
      <c r="G90" s="333" t="s">
        <v>149</v>
      </c>
      <c r="H90" s="334" t="s">
        <v>109</v>
      </c>
      <c r="I90" s="329"/>
      <c r="J90" s="335" t="s">
        <v>133</v>
      </c>
      <c r="L90" s="83" t="s">
        <v>110</v>
      </c>
      <c r="M90" s="83" t="s">
        <v>111</v>
      </c>
      <c r="N90" s="329"/>
      <c r="O90" s="474" t="s">
        <v>204</v>
      </c>
      <c r="P90" s="475" t="s">
        <v>205</v>
      </c>
      <c r="R90" s="353"/>
      <c r="S90" s="354"/>
      <c r="T90" s="355"/>
      <c r="U90" s="356"/>
    </row>
    <row r="91" spans="1:22" ht="26" customHeight="1" x14ac:dyDescent="0.3">
      <c r="A91" s="329"/>
      <c r="B91" s="377" t="s">
        <v>142</v>
      </c>
      <c r="C91" s="317"/>
      <c r="D91" s="317"/>
      <c r="E91" s="317"/>
      <c r="F91" s="317"/>
      <c r="G91" s="357"/>
      <c r="H91" s="349"/>
      <c r="I91" s="311"/>
      <c r="J91" s="350"/>
      <c r="K91" s="312"/>
      <c r="L91" s="318"/>
      <c r="M91" s="318"/>
      <c r="N91" s="312"/>
      <c r="O91" s="351"/>
      <c r="P91" s="352"/>
      <c r="R91" s="353"/>
      <c r="S91" s="354"/>
      <c r="T91" s="355"/>
      <c r="U91" s="356"/>
      <c r="V91" s="275"/>
    </row>
    <row r="92" spans="1:22" ht="30.5" customHeight="1" x14ac:dyDescent="0.3">
      <c r="A92" s="329"/>
      <c r="B92" s="423" t="s">
        <v>218</v>
      </c>
      <c r="C92" s="319" t="s">
        <v>219</v>
      </c>
      <c r="D92" s="319" t="s">
        <v>220</v>
      </c>
      <c r="E92" s="319" t="s">
        <v>221</v>
      </c>
      <c r="F92" s="319" t="s">
        <v>222</v>
      </c>
      <c r="G92" s="477" t="s">
        <v>223</v>
      </c>
      <c r="H92" s="348">
        <v>0.65569999999999995</v>
      </c>
      <c r="I92" s="311"/>
      <c r="J92" s="324">
        <v>1.8236417539701961E-2</v>
      </c>
      <c r="K92" s="312"/>
      <c r="L92" s="318">
        <v>0.92980972515856242</v>
      </c>
      <c r="M92" s="318">
        <v>0.91124260355029585</v>
      </c>
      <c r="N92" s="312"/>
      <c r="O92" s="376">
        <v>92.980972515856237</v>
      </c>
      <c r="P92" s="506">
        <v>91.124260355029591</v>
      </c>
      <c r="U92" s="1"/>
      <c r="V92" s="1"/>
    </row>
    <row r="93" spans="1:22" ht="33.5" customHeight="1" x14ac:dyDescent="0.3">
      <c r="A93" s="329"/>
      <c r="B93" s="479" t="s">
        <v>225</v>
      </c>
      <c r="C93" s="319" t="s">
        <v>226</v>
      </c>
      <c r="D93" s="319" t="s">
        <v>227</v>
      </c>
      <c r="E93" s="319" t="s">
        <v>228</v>
      </c>
      <c r="F93" s="319" t="s">
        <v>229</v>
      </c>
      <c r="G93" s="319" t="s">
        <v>230</v>
      </c>
      <c r="H93" s="348" t="s">
        <v>231</v>
      </c>
      <c r="I93" s="311"/>
      <c r="J93" s="324">
        <v>0.69222186087505655</v>
      </c>
      <c r="K93" s="312"/>
      <c r="L93" s="318">
        <v>0.41492284929190448</v>
      </c>
      <c r="M93" s="318">
        <v>0.41492284929190448</v>
      </c>
      <c r="N93" s="312"/>
      <c r="O93" s="395">
        <v>41.492284929190447</v>
      </c>
      <c r="P93" s="395">
        <v>41.492284929190447</v>
      </c>
    </row>
    <row r="94" spans="1:22" ht="27.5" customHeight="1" x14ac:dyDescent="0.3">
      <c r="A94" s="329"/>
      <c r="B94" s="423" t="s">
        <v>232</v>
      </c>
      <c r="C94" s="319" t="s">
        <v>233</v>
      </c>
      <c r="D94" s="319" t="s">
        <v>234</v>
      </c>
      <c r="E94" s="319" t="s">
        <v>235</v>
      </c>
      <c r="F94" s="319" t="s">
        <v>236</v>
      </c>
      <c r="G94" s="477" t="s">
        <v>237</v>
      </c>
      <c r="H94" s="348">
        <v>0.82669999999999999</v>
      </c>
      <c r="I94" s="311"/>
      <c r="J94" s="324">
        <v>3.7165181595912736E-3</v>
      </c>
      <c r="K94" s="312"/>
      <c r="L94" s="318">
        <v>0.17547568710359407</v>
      </c>
      <c r="M94" s="318">
        <v>0.14454775993237531</v>
      </c>
      <c r="N94" s="312"/>
      <c r="O94" s="507">
        <v>17.547568710359407</v>
      </c>
      <c r="P94" s="478">
        <v>14.454775993237531</v>
      </c>
    </row>
    <row r="95" spans="1:22" ht="26" customHeight="1" x14ac:dyDescent="0.3">
      <c r="A95" s="329"/>
      <c r="B95" s="423" t="s">
        <v>238</v>
      </c>
      <c r="C95" s="319" t="s">
        <v>239</v>
      </c>
      <c r="D95" s="319" t="s">
        <v>240</v>
      </c>
      <c r="E95" s="319" t="s">
        <v>241</v>
      </c>
      <c r="F95" s="319" t="s">
        <v>242</v>
      </c>
      <c r="G95" s="319" t="s">
        <v>243</v>
      </c>
      <c r="H95" s="348" t="s">
        <v>244</v>
      </c>
      <c r="I95" s="311"/>
      <c r="J95" s="324">
        <v>0.4541611626375533</v>
      </c>
      <c r="K95" s="312"/>
      <c r="L95" s="318">
        <v>5.7070386810399491E-2</v>
      </c>
      <c r="M95" s="318">
        <v>5.7070386810399491E-2</v>
      </c>
      <c r="N95" s="312"/>
      <c r="O95" s="395">
        <v>5.7070386810399487</v>
      </c>
      <c r="P95" s="395">
        <v>5.7070386810399487</v>
      </c>
    </row>
    <row r="96" spans="1:22" ht="26" customHeight="1" x14ac:dyDescent="0.3">
      <c r="A96" s="329"/>
      <c r="B96" s="423" t="s">
        <v>148</v>
      </c>
      <c r="C96" s="319" t="s">
        <v>245</v>
      </c>
      <c r="D96" s="319" t="s">
        <v>246</v>
      </c>
      <c r="E96" s="358" t="s">
        <v>247</v>
      </c>
      <c r="F96" s="319" t="s">
        <v>248</v>
      </c>
      <c r="G96" s="358" t="s">
        <v>250</v>
      </c>
      <c r="H96" s="348" t="s">
        <v>249</v>
      </c>
      <c r="I96" s="311"/>
      <c r="J96" s="324">
        <v>0.99936803266451568</v>
      </c>
      <c r="K96" s="312"/>
      <c r="L96" s="318">
        <v>2.9592052420207146E-3</v>
      </c>
      <c r="M96" s="318">
        <v>2.9592052420207146E-3</v>
      </c>
      <c r="N96" s="312"/>
      <c r="O96" s="425">
        <v>0.29592052420207143</v>
      </c>
      <c r="P96" s="425">
        <v>0.29592052420207143</v>
      </c>
    </row>
    <row r="97" spans="1:16" ht="26" customHeight="1" x14ac:dyDescent="0.3">
      <c r="A97" s="329"/>
      <c r="B97" s="423" t="s">
        <v>147</v>
      </c>
      <c r="C97" s="319" t="s">
        <v>213</v>
      </c>
      <c r="D97" s="319" t="s">
        <v>251</v>
      </c>
      <c r="E97" s="358" t="s">
        <v>252</v>
      </c>
      <c r="F97" s="319" t="s">
        <v>253</v>
      </c>
      <c r="G97" s="319" t="s">
        <v>254</v>
      </c>
      <c r="H97" s="348">
        <v>6.5100000000000005E-2</v>
      </c>
      <c r="I97" s="311"/>
      <c r="J97" s="324">
        <v>0.65489150614757308</v>
      </c>
      <c r="K97" s="312"/>
      <c r="L97" s="318">
        <v>1.0568590150073979E-3</v>
      </c>
      <c r="M97" s="318">
        <v>1.0568590150073979E-3</v>
      </c>
      <c r="N97" s="312"/>
      <c r="O97" s="425">
        <v>0.1056859015007398</v>
      </c>
      <c r="P97" s="425">
        <v>0.1056859015007398</v>
      </c>
    </row>
    <row r="98" spans="1:16" ht="26" customHeight="1" x14ac:dyDescent="0.3">
      <c r="A98" s="329"/>
      <c r="B98" s="423" t="s">
        <v>275</v>
      </c>
      <c r="C98" s="319" t="s">
        <v>276</v>
      </c>
      <c r="D98" s="319" t="s">
        <v>276</v>
      </c>
      <c r="E98" s="358"/>
      <c r="F98" s="319"/>
      <c r="G98" s="319"/>
      <c r="H98" s="348"/>
      <c r="I98" s="311"/>
      <c r="J98" s="350"/>
      <c r="K98" s="312"/>
      <c r="L98" s="318"/>
      <c r="M98" s="318"/>
      <c r="N98" s="312"/>
      <c r="O98" s="425"/>
      <c r="P98" s="425"/>
    </row>
    <row r="99" spans="1:16" ht="28" customHeight="1" x14ac:dyDescent="0.3">
      <c r="A99" s="329"/>
      <c r="B99" s="377" t="s">
        <v>255</v>
      </c>
      <c r="C99" s="317"/>
      <c r="D99" s="317"/>
      <c r="E99" s="317"/>
      <c r="F99" s="317"/>
      <c r="G99" s="357"/>
      <c r="H99" s="349"/>
      <c r="I99" s="311"/>
      <c r="J99" s="350"/>
      <c r="K99" s="312"/>
      <c r="L99" s="318"/>
      <c r="M99" s="318"/>
      <c r="N99" s="312"/>
      <c r="O99" s="351"/>
      <c r="P99" s="352"/>
    </row>
    <row r="100" spans="1:16" ht="30.5" customHeight="1" x14ac:dyDescent="0.3">
      <c r="A100" s="329"/>
      <c r="B100" s="423" t="s">
        <v>272</v>
      </c>
      <c r="C100" s="319" t="s">
        <v>207</v>
      </c>
      <c r="D100" s="319" t="s">
        <v>208</v>
      </c>
      <c r="E100" s="358" t="s">
        <v>209</v>
      </c>
      <c r="F100" s="319" t="s">
        <v>210</v>
      </c>
      <c r="G100" s="477" t="s">
        <v>211</v>
      </c>
      <c r="H100" s="348" t="s">
        <v>212</v>
      </c>
      <c r="I100" s="311"/>
      <c r="J100" s="324">
        <v>3.1324568279905836E-7</v>
      </c>
      <c r="K100" s="312"/>
      <c r="L100" s="318">
        <v>2.1564482029598309E-2</v>
      </c>
      <c r="M100" s="318">
        <v>4.6491969568892644E-3</v>
      </c>
      <c r="N100" s="312"/>
      <c r="O100" s="507">
        <v>2.1564482029598309</v>
      </c>
      <c r="P100" s="478">
        <v>0.46491969568892644</v>
      </c>
    </row>
    <row r="101" spans="1:16" ht="33" customHeight="1" x14ac:dyDescent="0.3">
      <c r="A101" s="329"/>
      <c r="B101" s="423" t="s">
        <v>206</v>
      </c>
      <c r="C101" s="319" t="s">
        <v>213</v>
      </c>
      <c r="D101" s="319" t="s">
        <v>214</v>
      </c>
      <c r="E101" s="319" t="e">
        <v>#DIV/0!</v>
      </c>
      <c r="F101" s="319" t="s">
        <v>215</v>
      </c>
      <c r="G101" s="319" t="s">
        <v>216</v>
      </c>
      <c r="H101" s="348" t="s">
        <v>217</v>
      </c>
      <c r="I101" s="311"/>
      <c r="J101" s="324">
        <v>0.15712374157312783</v>
      </c>
      <c r="K101" s="312"/>
      <c r="L101" s="318">
        <v>4.2274360600295919E-4</v>
      </c>
      <c r="M101" s="318">
        <v>4.2274360600295919E-4</v>
      </c>
      <c r="N101" s="312"/>
      <c r="O101" s="476">
        <v>0.1</v>
      </c>
      <c r="P101" s="426">
        <v>0</v>
      </c>
    </row>
    <row r="102" spans="1:16" ht="6.75" customHeight="1" x14ac:dyDescent="0.3">
      <c r="A102" s="329"/>
      <c r="B102" s="329"/>
      <c r="C102" s="329"/>
      <c r="D102" s="329"/>
      <c r="E102" s="329"/>
      <c r="F102" s="329"/>
      <c r="G102" s="329"/>
      <c r="H102" s="329"/>
      <c r="I102" s="329"/>
      <c r="J102" s="329"/>
      <c r="K102" s="329"/>
      <c r="L102" s="329"/>
      <c r="M102" s="329"/>
      <c r="N102" s="329"/>
      <c r="O102" s="329"/>
      <c r="P102" s="329"/>
    </row>
    <row r="103" spans="1:16" ht="33" customHeight="1" x14ac:dyDescent="0.3">
      <c r="A103" s="329"/>
      <c r="B103" s="535" t="s">
        <v>273</v>
      </c>
      <c r="C103" s="535"/>
      <c r="D103" s="535"/>
      <c r="E103" s="535"/>
      <c r="F103" s="535"/>
      <c r="G103" s="535"/>
      <c r="H103" s="535"/>
      <c r="I103" s="535"/>
      <c r="J103" s="535"/>
      <c r="K103" s="535"/>
      <c r="L103" s="535"/>
      <c r="M103" s="535"/>
      <c r="N103" s="535"/>
      <c r="O103" s="535"/>
      <c r="P103" s="535"/>
    </row>
    <row r="104" spans="1:16" ht="44.5" customHeight="1" x14ac:dyDescent="0.3">
      <c r="A104" s="329"/>
      <c r="B104" s="529" t="s">
        <v>224</v>
      </c>
      <c r="C104" s="530"/>
      <c r="D104" s="530"/>
      <c r="E104" s="530"/>
      <c r="F104" s="530"/>
      <c r="G104" s="530"/>
      <c r="H104" s="530"/>
      <c r="I104" s="530"/>
      <c r="J104" s="530"/>
      <c r="K104" s="530"/>
      <c r="L104" s="530"/>
      <c r="M104" s="530"/>
      <c r="N104" s="530"/>
      <c r="O104" s="530"/>
      <c r="P104" s="531"/>
    </row>
    <row r="111" spans="1:16" x14ac:dyDescent="0.3">
      <c r="C111" s="1">
        <v>1</v>
      </c>
      <c r="D111" s="1">
        <v>7.5</v>
      </c>
    </row>
    <row r="112" spans="1:16" x14ac:dyDescent="0.3">
      <c r="C112" s="1">
        <f>100-C110+C111</f>
        <v>101</v>
      </c>
      <c r="D112" s="1">
        <v>7.5</v>
      </c>
      <c r="E112" s="1">
        <f>C112-D112</f>
        <v>93.5</v>
      </c>
    </row>
  </sheetData>
  <mergeCells count="21">
    <mergeCell ref="B2:F2"/>
    <mergeCell ref="B3:F3"/>
    <mergeCell ref="C41:D41"/>
    <mergeCell ref="O63:P63"/>
    <mergeCell ref="E64:H64"/>
    <mergeCell ref="O64:P64"/>
    <mergeCell ref="B63:H63"/>
    <mergeCell ref="R63:U63"/>
    <mergeCell ref="R64:R65"/>
    <mergeCell ref="S64:S65"/>
    <mergeCell ref="T64:T65"/>
    <mergeCell ref="U64:U65"/>
    <mergeCell ref="B104:P104"/>
    <mergeCell ref="B85:P85"/>
    <mergeCell ref="B64:B65"/>
    <mergeCell ref="B103:P103"/>
    <mergeCell ref="O89:P89"/>
    <mergeCell ref="B89:B90"/>
    <mergeCell ref="E89:H89"/>
    <mergeCell ref="O88:P88"/>
    <mergeCell ref="B86:P86"/>
  </mergeCells>
  <phoneticPr fontId="26" type="noConversion"/>
  <pageMargins left="0.7" right="0.7" top="0.75" bottom="0.75" header="0.3" footer="0.3"/>
  <pageSetup paperSize="9" orientation="portrait" horizontalDpi="300" verticalDpi="300" r:id="rId1"/>
  <ignoredErrors>
    <ignoredError sqref="H74 H79 H67:H68 H100:H101 H93 H95:H96 H70 H71:H72 H81:H8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I161"/>
  <sheetViews>
    <sheetView topLeftCell="A3" zoomScale="70" zoomScaleNormal="70" workbookViewId="0">
      <selection activeCell="B4" sqref="B4:EB4"/>
    </sheetView>
  </sheetViews>
  <sheetFormatPr baseColWidth="10" defaultRowHeight="14.5" x14ac:dyDescent="0.35"/>
  <cols>
    <col min="1" max="1" width="0.6328125" customWidth="1"/>
    <col min="2" max="2" width="15.36328125" customWidth="1"/>
    <col min="4" max="5" width="10.54296875" customWidth="1"/>
    <col min="6" max="6" width="4.453125" customWidth="1"/>
    <col min="7" max="7" width="5.1796875" customWidth="1"/>
    <col min="8" max="67" width="1.6328125" customWidth="1"/>
    <col min="68" max="68" width="4.36328125" customWidth="1"/>
    <col min="69" max="69" width="4.81640625" customWidth="1"/>
    <col min="70" max="70" width="5.453125" customWidth="1"/>
    <col min="71" max="130" width="1.6328125" customWidth="1"/>
    <col min="131" max="131" width="5.1796875" style="20" customWidth="1"/>
    <col min="132" max="132" width="3.7265625" style="20" customWidth="1"/>
    <col min="133" max="133" width="1.1796875" style="20" customWidth="1"/>
    <col min="134" max="139" width="3.7265625" style="20" customWidth="1"/>
    <col min="147" max="147" width="2.54296875" customWidth="1"/>
  </cols>
  <sheetData>
    <row r="1" spans="1:137" hidden="1" x14ac:dyDescent="0.35">
      <c r="B1" s="19" t="str">
        <f>C8</f>
        <v>meses</v>
      </c>
      <c r="C1" s="19" t="s">
        <v>4</v>
      </c>
      <c r="D1" s="19" t="s">
        <v>5</v>
      </c>
      <c r="E1" s="19" t="s">
        <v>6</v>
      </c>
      <c r="F1" s="19"/>
      <c r="G1" s="19"/>
      <c r="EA1"/>
      <c r="EB1"/>
      <c r="EC1"/>
      <c r="ED1"/>
      <c r="EE1"/>
    </row>
    <row r="2" spans="1:137" hidden="1" x14ac:dyDescent="0.35">
      <c r="B2" s="19" t="s">
        <v>7</v>
      </c>
      <c r="C2" s="19" t="s">
        <v>8</v>
      </c>
      <c r="D2" s="19" t="s">
        <v>9</v>
      </c>
      <c r="E2" s="19" t="s">
        <v>10</v>
      </c>
      <c r="F2" s="19" t="str">
        <f>CONCATENATE(C2," ",C6," ",D2," ",C12," ",C8)</f>
        <v>puede representarse llegando los 139 pacientes, a los 60 meses</v>
      </c>
      <c r="G2" s="19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EA2"/>
      <c r="EB2"/>
      <c r="EC2"/>
      <c r="ED2"/>
      <c r="EE2"/>
    </row>
    <row r="3" spans="1:137" ht="5" customHeight="1" thickBot="1" x14ac:dyDescent="0.4">
      <c r="A3" s="450"/>
      <c r="B3" s="450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451"/>
      <c r="AG3" s="451"/>
      <c r="AH3" s="451"/>
      <c r="AI3" s="451"/>
      <c r="AJ3" s="451"/>
      <c r="AK3" s="451"/>
      <c r="AL3" s="451"/>
      <c r="AM3" s="451"/>
      <c r="AN3" s="451"/>
      <c r="AO3" s="451"/>
      <c r="AP3" s="451"/>
      <c r="AQ3" s="451"/>
      <c r="AR3" s="451"/>
      <c r="AS3" s="451"/>
      <c r="AT3" s="451"/>
      <c r="AU3" s="451"/>
      <c r="AV3" s="451"/>
      <c r="AW3" s="451"/>
      <c r="AX3" s="451"/>
      <c r="AY3" s="451"/>
      <c r="AZ3" s="451"/>
      <c r="BA3" s="451"/>
      <c r="BB3" s="451"/>
      <c r="BC3" s="451"/>
      <c r="BD3" s="451"/>
      <c r="BE3" s="451"/>
      <c r="BF3" s="451"/>
      <c r="BG3" s="451"/>
      <c r="BH3" s="451"/>
      <c r="BI3" s="451"/>
      <c r="BJ3" s="451"/>
      <c r="BK3" s="451"/>
      <c r="BL3" s="451"/>
      <c r="BM3" s="451"/>
      <c r="BN3" s="451"/>
      <c r="BO3" s="451"/>
      <c r="BP3" s="451"/>
      <c r="BQ3" s="451"/>
      <c r="BR3" s="451"/>
      <c r="BS3" s="451"/>
      <c r="BT3" s="451"/>
      <c r="BU3" s="451"/>
      <c r="BV3" s="451"/>
      <c r="BW3" s="451"/>
      <c r="BX3" s="451"/>
      <c r="BY3" s="451"/>
      <c r="BZ3" s="451"/>
      <c r="CA3" s="451"/>
      <c r="CB3" s="451"/>
      <c r="CC3" s="451"/>
      <c r="CD3" s="451"/>
      <c r="CE3" s="451"/>
      <c r="CF3" s="451"/>
      <c r="CG3" s="451"/>
      <c r="CH3" s="451"/>
      <c r="CI3" s="451"/>
      <c r="CJ3" s="451"/>
      <c r="CK3" s="451"/>
      <c r="CL3" s="451"/>
      <c r="CM3" s="451"/>
      <c r="CN3" s="451"/>
      <c r="CO3" s="451"/>
      <c r="CP3" s="451"/>
      <c r="CQ3" s="451"/>
      <c r="CR3" s="451"/>
      <c r="CS3" s="451"/>
      <c r="CT3" s="451"/>
      <c r="CU3" s="451"/>
      <c r="CV3" s="451"/>
      <c r="CW3" s="451"/>
      <c r="CX3" s="451"/>
      <c r="CY3" s="451"/>
      <c r="CZ3" s="451"/>
      <c r="DA3" s="451"/>
      <c r="DB3" s="451"/>
      <c r="DC3" s="451"/>
      <c r="DD3" s="451"/>
      <c r="DE3" s="451"/>
      <c r="DF3" s="451"/>
      <c r="DG3" s="451"/>
      <c r="DH3" s="451"/>
      <c r="DI3" s="451"/>
      <c r="DJ3" s="451"/>
      <c r="DK3" s="451"/>
      <c r="DL3" s="451"/>
      <c r="DM3" s="451"/>
      <c r="DN3" s="451"/>
      <c r="DO3" s="451"/>
      <c r="DP3" s="451"/>
      <c r="DQ3" s="451"/>
      <c r="DR3" s="451"/>
      <c r="DS3" s="451"/>
      <c r="DT3" s="451"/>
      <c r="DU3" s="451"/>
      <c r="DV3" s="451"/>
      <c r="DW3" s="451"/>
      <c r="DX3" s="451"/>
      <c r="DY3" s="451"/>
      <c r="DZ3" s="451"/>
      <c r="EA3" s="451"/>
      <c r="EB3" s="451"/>
      <c r="EC3" s="450"/>
      <c r="ED3"/>
      <c r="EE3"/>
    </row>
    <row r="4" spans="1:137" ht="51.5" customHeight="1" thickBot="1" x14ac:dyDescent="0.4">
      <c r="A4" s="450"/>
      <c r="B4" s="572" t="s">
        <v>258</v>
      </c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573"/>
      <c r="U4" s="573"/>
      <c r="V4" s="573"/>
      <c r="W4" s="573"/>
      <c r="X4" s="573"/>
      <c r="Y4" s="573"/>
      <c r="Z4" s="573"/>
      <c r="AA4" s="573"/>
      <c r="AB4" s="573"/>
      <c r="AC4" s="573"/>
      <c r="AD4" s="573"/>
      <c r="AE4" s="573"/>
      <c r="AF4" s="573"/>
      <c r="AG4" s="573"/>
      <c r="AH4" s="573"/>
      <c r="AI4" s="573"/>
      <c r="AJ4" s="573"/>
      <c r="AK4" s="573"/>
      <c r="AL4" s="573"/>
      <c r="AM4" s="573"/>
      <c r="AN4" s="573"/>
      <c r="AO4" s="573"/>
      <c r="AP4" s="573"/>
      <c r="AQ4" s="573"/>
      <c r="AR4" s="573"/>
      <c r="AS4" s="573"/>
      <c r="AT4" s="573"/>
      <c r="AU4" s="573"/>
      <c r="AV4" s="573"/>
      <c r="AW4" s="573"/>
      <c r="AX4" s="573"/>
      <c r="AY4" s="573"/>
      <c r="AZ4" s="573"/>
      <c r="BA4" s="573"/>
      <c r="BB4" s="573"/>
      <c r="BC4" s="573"/>
      <c r="BD4" s="573"/>
      <c r="BE4" s="573"/>
      <c r="BF4" s="573"/>
      <c r="BG4" s="573"/>
      <c r="BH4" s="573"/>
      <c r="BI4" s="573"/>
      <c r="BJ4" s="573"/>
      <c r="BK4" s="573"/>
      <c r="BL4" s="573"/>
      <c r="BM4" s="573"/>
      <c r="BN4" s="573"/>
      <c r="BO4" s="573"/>
      <c r="BP4" s="573"/>
      <c r="BQ4" s="573"/>
      <c r="BR4" s="573"/>
      <c r="BS4" s="573"/>
      <c r="BT4" s="573"/>
      <c r="BU4" s="573"/>
      <c r="BV4" s="573"/>
      <c r="BW4" s="573"/>
      <c r="BX4" s="573"/>
      <c r="BY4" s="573"/>
      <c r="BZ4" s="573"/>
      <c r="CA4" s="573"/>
      <c r="CB4" s="573"/>
      <c r="CC4" s="573"/>
      <c r="CD4" s="573"/>
      <c r="CE4" s="573"/>
      <c r="CF4" s="573"/>
      <c r="CG4" s="573"/>
      <c r="CH4" s="573"/>
      <c r="CI4" s="573"/>
      <c r="CJ4" s="573"/>
      <c r="CK4" s="573"/>
      <c r="CL4" s="573"/>
      <c r="CM4" s="573"/>
      <c r="CN4" s="573"/>
      <c r="CO4" s="573"/>
      <c r="CP4" s="573"/>
      <c r="CQ4" s="573"/>
      <c r="CR4" s="573"/>
      <c r="CS4" s="573"/>
      <c r="CT4" s="573"/>
      <c r="CU4" s="573"/>
      <c r="CV4" s="573"/>
      <c r="CW4" s="573"/>
      <c r="CX4" s="573"/>
      <c r="CY4" s="573"/>
      <c r="CZ4" s="573"/>
      <c r="DA4" s="573"/>
      <c r="DB4" s="573"/>
      <c r="DC4" s="573"/>
      <c r="DD4" s="573"/>
      <c r="DE4" s="573"/>
      <c r="DF4" s="573"/>
      <c r="DG4" s="573"/>
      <c r="DH4" s="573"/>
      <c r="DI4" s="573"/>
      <c r="DJ4" s="573"/>
      <c r="DK4" s="573"/>
      <c r="DL4" s="573"/>
      <c r="DM4" s="573"/>
      <c r="DN4" s="573"/>
      <c r="DO4" s="573"/>
      <c r="DP4" s="573"/>
      <c r="DQ4" s="573"/>
      <c r="DR4" s="573"/>
      <c r="DS4" s="573"/>
      <c r="DT4" s="573"/>
      <c r="DU4" s="573"/>
      <c r="DV4" s="573"/>
      <c r="DW4" s="573"/>
      <c r="DX4" s="573"/>
      <c r="DY4" s="573"/>
      <c r="DZ4" s="573"/>
      <c r="EA4" s="573"/>
      <c r="EB4" s="574"/>
      <c r="EC4" s="450"/>
      <c r="ED4"/>
      <c r="EE4"/>
    </row>
    <row r="5" spans="1:137" ht="6.5" customHeight="1" x14ac:dyDescent="0.35">
      <c r="A5" s="450"/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452"/>
      <c r="AJ5" s="452"/>
      <c r="AK5" s="452"/>
      <c r="AL5" s="452"/>
      <c r="AM5" s="452"/>
      <c r="AN5" s="452"/>
      <c r="AO5" s="452"/>
      <c r="AP5" s="452"/>
      <c r="AQ5" s="452"/>
      <c r="AR5" s="452"/>
      <c r="AS5" s="452"/>
      <c r="AT5" s="452"/>
      <c r="AU5" s="452"/>
      <c r="AV5" s="452"/>
      <c r="AW5" s="452"/>
      <c r="AX5" s="452"/>
      <c r="AY5" s="452"/>
      <c r="AZ5" s="452"/>
      <c r="BA5" s="452"/>
      <c r="BB5" s="452"/>
      <c r="BC5" s="452"/>
      <c r="BD5" s="452"/>
      <c r="BE5" s="452"/>
      <c r="BF5" s="452"/>
      <c r="BG5" s="452"/>
      <c r="BH5" s="452"/>
      <c r="BI5" s="452"/>
      <c r="BJ5" s="452"/>
      <c r="BK5" s="452"/>
      <c r="BL5" s="452"/>
      <c r="BM5" s="452"/>
      <c r="BN5" s="452"/>
      <c r="BO5" s="452"/>
      <c r="BP5" s="452"/>
      <c r="BQ5" s="452"/>
      <c r="BR5" s="452"/>
      <c r="BS5" s="452"/>
      <c r="BT5" s="452"/>
      <c r="BU5" s="452"/>
      <c r="BV5" s="452"/>
      <c r="BW5" s="452"/>
      <c r="BX5" s="452"/>
      <c r="BY5" s="452"/>
      <c r="BZ5" s="452"/>
      <c r="CA5" s="452"/>
      <c r="CB5" s="452"/>
      <c r="CC5" s="452"/>
      <c r="CD5" s="452"/>
      <c r="CE5" s="452"/>
      <c r="CF5" s="452"/>
      <c r="CG5" s="452"/>
      <c r="CH5" s="452"/>
      <c r="CI5" s="452"/>
      <c r="CJ5" s="452"/>
      <c r="CK5" s="452"/>
      <c r="CL5" s="452"/>
      <c r="CM5" s="452"/>
      <c r="CN5" s="452"/>
      <c r="CO5" s="452"/>
      <c r="CP5" s="452"/>
      <c r="CQ5" s="452"/>
      <c r="CR5" s="452"/>
      <c r="CS5" s="452"/>
      <c r="CT5" s="452"/>
      <c r="CU5" s="452"/>
      <c r="CV5" s="452"/>
      <c r="CW5" s="452"/>
      <c r="CX5" s="452"/>
      <c r="CY5" s="452"/>
      <c r="CZ5" s="452"/>
      <c r="DA5" s="452"/>
      <c r="DB5" s="452"/>
      <c r="DC5" s="452"/>
      <c r="DD5" s="452"/>
      <c r="DE5" s="452"/>
      <c r="DF5" s="452"/>
      <c r="DG5" s="452"/>
      <c r="DH5" s="452"/>
      <c r="DI5" s="452"/>
      <c r="DJ5" s="452"/>
      <c r="DK5" s="452"/>
      <c r="DL5" s="452"/>
      <c r="DM5" s="452"/>
      <c r="DN5" s="452"/>
      <c r="DO5" s="452"/>
      <c r="DP5" s="452"/>
      <c r="DQ5" s="452"/>
      <c r="DR5" s="452"/>
      <c r="DS5" s="452"/>
      <c r="DT5" s="452"/>
      <c r="DU5" s="452"/>
      <c r="DV5" s="452"/>
      <c r="DW5" s="452"/>
      <c r="DX5" s="452"/>
      <c r="DY5" s="452"/>
      <c r="DZ5" s="452"/>
      <c r="EA5" s="452"/>
      <c r="EB5" s="452"/>
      <c r="EC5" s="450"/>
      <c r="ED5"/>
      <c r="EE5"/>
    </row>
    <row r="6" spans="1:137" ht="31.5" customHeight="1" x14ac:dyDescent="0.35">
      <c r="B6" s="343" t="s">
        <v>139</v>
      </c>
      <c r="C6" s="23">
        <f>D6+E6+F6</f>
        <v>139</v>
      </c>
      <c r="D6" s="480">
        <v>2</v>
      </c>
      <c r="E6" s="481">
        <v>1</v>
      </c>
      <c r="F6" s="482">
        <v>136</v>
      </c>
      <c r="H6" s="22"/>
      <c r="I6" s="374" t="s">
        <v>305</v>
      </c>
      <c r="J6" s="22"/>
      <c r="K6" s="337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EA6"/>
      <c r="EB6"/>
      <c r="EC6"/>
      <c r="ED6"/>
      <c r="EE6"/>
    </row>
    <row r="7" spans="1:137" ht="15" customHeight="1" x14ac:dyDescent="0.35">
      <c r="B7" s="22"/>
      <c r="C7" s="399">
        <f>D9/D6</f>
        <v>36.130600169061708</v>
      </c>
      <c r="D7" s="400">
        <f>D6*36</f>
        <v>72</v>
      </c>
      <c r="E7" s="401">
        <f>E9/(D6+E6)</f>
        <v>34.068425313505813</v>
      </c>
      <c r="F7" s="402">
        <f>(D6+E6)*15</f>
        <v>45</v>
      </c>
      <c r="G7" s="22"/>
      <c r="H7" s="22"/>
      <c r="I7" s="375" t="s">
        <v>153</v>
      </c>
      <c r="J7" s="22"/>
      <c r="K7" s="336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EA7"/>
      <c r="EB7"/>
      <c r="EC7"/>
      <c r="ED7"/>
      <c r="EE7"/>
    </row>
    <row r="8" spans="1:137" ht="39.75" customHeight="1" x14ac:dyDescent="0.35">
      <c r="B8" s="344" t="s">
        <v>138</v>
      </c>
      <c r="C8" s="26" t="s">
        <v>134</v>
      </c>
      <c r="D8" s="27" t="str">
        <f>CONCATENATE(B1," ",C1," ",C6," ",D1)</f>
        <v>meses de los 139 del grupo Interv</v>
      </c>
      <c r="E8" s="27" t="str">
        <f>CONCATENATE(B1," ",C1," ",C6," ",E1)</f>
        <v>meses de los 139 del grupo Contr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EA8"/>
      <c r="EB8"/>
      <c r="EC8"/>
      <c r="ED8"/>
      <c r="EE8"/>
    </row>
    <row r="9" spans="1:137" ht="21" customHeight="1" x14ac:dyDescent="0.35">
      <c r="B9" s="405" t="s">
        <v>1</v>
      </c>
      <c r="C9" s="28">
        <v>0.51986475063398141</v>
      </c>
      <c r="D9" s="372">
        <f>C9*C6</f>
        <v>72.261200338123416</v>
      </c>
      <c r="E9" s="575">
        <f>(C9+C10)*C6</f>
        <v>102.20527594051744</v>
      </c>
      <c r="F9" s="29"/>
      <c r="G9" s="29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22"/>
      <c r="BQ9" s="22"/>
      <c r="BR9" s="22"/>
      <c r="EA9"/>
      <c r="EB9"/>
      <c r="EC9"/>
      <c r="ED9"/>
      <c r="EE9"/>
    </row>
    <row r="10" spans="1:137" ht="26" x14ac:dyDescent="0.35">
      <c r="B10" s="406" t="s">
        <v>3</v>
      </c>
      <c r="C10" s="31">
        <v>0.21542500433376999</v>
      </c>
      <c r="D10" s="576">
        <f>(C11+C10)*C6</f>
        <v>8267.7387996618763</v>
      </c>
      <c r="E10" s="575"/>
      <c r="F10" s="25"/>
      <c r="G10" s="401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22"/>
      <c r="BQ10" s="22"/>
      <c r="BR10" s="22"/>
      <c r="EA10"/>
      <c r="EB10"/>
      <c r="EC10"/>
      <c r="ED10"/>
      <c r="EE10"/>
    </row>
    <row r="11" spans="1:137" ht="26" x14ac:dyDescent="0.35">
      <c r="B11" s="407" t="s">
        <v>2</v>
      </c>
      <c r="C11" s="33">
        <v>59.264710245032255</v>
      </c>
      <c r="D11" s="576"/>
      <c r="E11" s="34">
        <f>C11*C6</f>
        <v>8237.794724059484</v>
      </c>
      <c r="F11" s="24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</row>
    <row r="12" spans="1:137" x14ac:dyDescent="0.35">
      <c r="B12" s="2"/>
      <c r="C12" s="35">
        <v>60.000000000000007</v>
      </c>
      <c r="D12" s="36">
        <f>D9+D10</f>
        <v>8340</v>
      </c>
      <c r="E12" s="36">
        <f>E9+E11</f>
        <v>8340.0000000000018</v>
      </c>
      <c r="F12" s="37"/>
      <c r="G12" s="37"/>
      <c r="H12" s="373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</row>
    <row r="13" spans="1:137" ht="9" customHeight="1" x14ac:dyDescent="0.35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</row>
    <row r="14" spans="1:137" x14ac:dyDescent="0.35">
      <c r="B14" s="22"/>
      <c r="C14" s="22"/>
      <c r="D14" s="18">
        <f>(F6+E6)*C12</f>
        <v>8220.0000000000018</v>
      </c>
      <c r="E14" s="18">
        <f>F6*C12</f>
        <v>8160.0000000000009</v>
      </c>
      <c r="F14" s="22"/>
      <c r="G14" s="38" t="s">
        <v>12</v>
      </c>
      <c r="H14" s="22"/>
      <c r="I14" s="22"/>
      <c r="J14" s="22"/>
      <c r="K14" s="22"/>
      <c r="L14" s="22"/>
      <c r="M14" s="22"/>
      <c r="N14" s="22"/>
      <c r="O14" s="22"/>
      <c r="P14" s="22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</row>
    <row r="15" spans="1:137" ht="36" customHeight="1" x14ac:dyDescent="0.35">
      <c r="B15" s="577" t="s">
        <v>13</v>
      </c>
      <c r="C15" s="577"/>
      <c r="D15" s="39">
        <f>D10-D14</f>
        <v>47.738799661874509</v>
      </c>
      <c r="E15" s="39">
        <f>E11-E14</f>
        <v>77.794724059483087</v>
      </c>
      <c r="G15" s="578" t="str">
        <f>IF((AND(((C10+C11)/C12)&gt;((E6+F6)/C6),(C11/C12)&gt;(F6/C6))),F2,#REF!)</f>
        <v>puede representarse llegando los 139 pacientes, a los 60 meses</v>
      </c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440"/>
      <c r="Y15" s="440"/>
      <c r="Z15" s="440"/>
      <c r="AA15" s="440"/>
      <c r="AB15" s="440"/>
      <c r="AC15" s="440"/>
      <c r="AD15" s="440"/>
      <c r="AE15" s="440"/>
      <c r="AF15" s="440"/>
      <c r="AG15" s="440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</row>
    <row r="16" spans="1:137" ht="18.75" customHeight="1" x14ac:dyDescent="0.35">
      <c r="B16" s="40"/>
      <c r="C16" s="40"/>
      <c r="D16" s="40"/>
      <c r="E16" s="40"/>
      <c r="G16" s="41"/>
      <c r="H16" s="439">
        <v>60</v>
      </c>
      <c r="I16" s="439">
        <v>59</v>
      </c>
      <c r="J16" s="439">
        <v>58</v>
      </c>
      <c r="K16" s="439">
        <v>57</v>
      </c>
      <c r="L16" s="439">
        <v>56</v>
      </c>
      <c r="M16" s="439">
        <v>55</v>
      </c>
      <c r="N16" s="439">
        <v>54</v>
      </c>
      <c r="O16" s="439">
        <v>53</v>
      </c>
      <c r="P16" s="439">
        <v>52</v>
      </c>
      <c r="Q16" s="439">
        <v>51</v>
      </c>
      <c r="R16" s="439">
        <v>50</v>
      </c>
      <c r="S16" s="439">
        <v>49</v>
      </c>
      <c r="T16" s="439">
        <v>48</v>
      </c>
      <c r="U16" s="439">
        <v>47</v>
      </c>
      <c r="V16" s="439">
        <v>46</v>
      </c>
      <c r="W16" s="439">
        <v>45</v>
      </c>
      <c r="X16" s="439">
        <v>44</v>
      </c>
      <c r="Y16" s="439">
        <v>43</v>
      </c>
      <c r="Z16" s="439">
        <v>42</v>
      </c>
      <c r="AA16" s="439">
        <v>41</v>
      </c>
      <c r="AB16" s="439">
        <v>40</v>
      </c>
      <c r="AC16" s="439">
        <v>39</v>
      </c>
      <c r="AD16" s="439">
        <v>38</v>
      </c>
      <c r="AE16" s="439">
        <v>37</v>
      </c>
      <c r="AF16" s="439">
        <v>36</v>
      </c>
      <c r="AG16" s="439">
        <v>35</v>
      </c>
      <c r="AH16" s="439">
        <v>34</v>
      </c>
      <c r="AI16" s="439">
        <v>33</v>
      </c>
      <c r="AJ16" s="439">
        <v>32</v>
      </c>
      <c r="AK16" s="439">
        <v>31</v>
      </c>
      <c r="AL16" s="439">
        <v>30</v>
      </c>
      <c r="AM16" s="439">
        <v>29</v>
      </c>
      <c r="AN16" s="439">
        <v>28</v>
      </c>
      <c r="AO16" s="439">
        <v>27</v>
      </c>
      <c r="AP16" s="439">
        <v>26</v>
      </c>
      <c r="AQ16" s="439">
        <v>25</v>
      </c>
      <c r="AR16" s="439">
        <v>24</v>
      </c>
      <c r="AS16" s="439">
        <v>23</v>
      </c>
      <c r="AT16" s="439">
        <v>22</v>
      </c>
      <c r="AU16" s="439">
        <v>21</v>
      </c>
      <c r="AV16" s="439">
        <v>20</v>
      </c>
      <c r="AW16" s="439">
        <v>19</v>
      </c>
      <c r="AX16" s="439">
        <v>18</v>
      </c>
      <c r="AY16" s="439">
        <v>17</v>
      </c>
      <c r="AZ16" s="439">
        <v>16</v>
      </c>
      <c r="BA16" s="439">
        <v>15</v>
      </c>
      <c r="BB16" s="439">
        <v>14</v>
      </c>
      <c r="BC16" s="439">
        <v>13</v>
      </c>
      <c r="BD16" s="439">
        <v>12</v>
      </c>
      <c r="BE16" s="439">
        <v>11</v>
      </c>
      <c r="BF16" s="439">
        <v>10</v>
      </c>
      <c r="BG16" s="439">
        <v>9</v>
      </c>
      <c r="BH16" s="439">
        <v>8</v>
      </c>
      <c r="BI16" s="439">
        <v>7</v>
      </c>
      <c r="BJ16" s="439">
        <v>6</v>
      </c>
      <c r="BK16" s="439">
        <v>5</v>
      </c>
      <c r="BL16" s="439">
        <v>4</v>
      </c>
      <c r="BM16" s="439">
        <v>3</v>
      </c>
      <c r="BN16" s="439">
        <v>2</v>
      </c>
      <c r="BO16" s="439">
        <v>1</v>
      </c>
      <c r="BP16" s="41"/>
      <c r="BQ16" s="41"/>
      <c r="BR16" s="41"/>
      <c r="BS16" s="439">
        <v>60</v>
      </c>
      <c r="BT16" s="439">
        <v>59</v>
      </c>
      <c r="BU16" s="439">
        <v>58</v>
      </c>
      <c r="BV16" s="439">
        <v>57</v>
      </c>
      <c r="BW16" s="439">
        <v>56</v>
      </c>
      <c r="BX16" s="439">
        <v>55</v>
      </c>
      <c r="BY16" s="439">
        <v>54</v>
      </c>
      <c r="BZ16" s="439">
        <v>53</v>
      </c>
      <c r="CA16" s="439">
        <v>52</v>
      </c>
      <c r="CB16" s="439">
        <v>51</v>
      </c>
      <c r="CC16" s="439">
        <v>50</v>
      </c>
      <c r="CD16" s="439">
        <v>49</v>
      </c>
      <c r="CE16" s="439">
        <v>48</v>
      </c>
      <c r="CF16" s="439">
        <v>47</v>
      </c>
      <c r="CG16" s="439">
        <v>46</v>
      </c>
      <c r="CH16" s="439">
        <v>45</v>
      </c>
      <c r="CI16" s="439">
        <v>44</v>
      </c>
      <c r="CJ16" s="439">
        <v>43</v>
      </c>
      <c r="CK16" s="439">
        <v>42</v>
      </c>
      <c r="CL16" s="439">
        <v>41</v>
      </c>
      <c r="CM16" s="439">
        <v>40</v>
      </c>
      <c r="CN16" s="439">
        <v>39</v>
      </c>
      <c r="CO16" s="439">
        <v>38</v>
      </c>
      <c r="CP16" s="439">
        <v>37</v>
      </c>
      <c r="CQ16" s="439">
        <v>36</v>
      </c>
      <c r="CR16" s="439">
        <v>35</v>
      </c>
      <c r="CS16" s="439">
        <v>34</v>
      </c>
      <c r="CT16" s="439">
        <v>33</v>
      </c>
      <c r="CU16" s="439">
        <v>32</v>
      </c>
      <c r="CV16" s="439">
        <v>31</v>
      </c>
      <c r="CW16" s="439">
        <v>30</v>
      </c>
      <c r="CX16" s="439">
        <v>29</v>
      </c>
      <c r="CY16" s="439">
        <v>28</v>
      </c>
      <c r="CZ16" s="439">
        <v>27</v>
      </c>
      <c r="DA16" s="439">
        <v>26</v>
      </c>
      <c r="DB16" s="439">
        <v>25</v>
      </c>
      <c r="DC16" s="439">
        <v>24</v>
      </c>
      <c r="DD16" s="439">
        <v>23</v>
      </c>
      <c r="DE16" s="439">
        <v>22</v>
      </c>
      <c r="DF16" s="439">
        <v>21</v>
      </c>
      <c r="DG16" s="439">
        <v>20</v>
      </c>
      <c r="DH16" s="439">
        <v>19</v>
      </c>
      <c r="DI16" s="439">
        <v>18</v>
      </c>
      <c r="DJ16" s="439">
        <v>17</v>
      </c>
      <c r="DK16" s="439">
        <v>16</v>
      </c>
      <c r="DL16" s="439">
        <v>15</v>
      </c>
      <c r="DM16" s="439">
        <v>14</v>
      </c>
      <c r="DN16" s="439">
        <v>13</v>
      </c>
      <c r="DO16" s="439">
        <v>12</v>
      </c>
      <c r="DP16" s="439">
        <v>11</v>
      </c>
      <c r="DQ16" s="439">
        <v>10</v>
      </c>
      <c r="DR16" s="439">
        <v>9</v>
      </c>
      <c r="DS16" s="439">
        <v>8</v>
      </c>
      <c r="DT16" s="439">
        <v>7</v>
      </c>
      <c r="DU16" s="439">
        <v>6</v>
      </c>
      <c r="DV16" s="439">
        <v>5</v>
      </c>
      <c r="DW16" s="439">
        <v>4</v>
      </c>
      <c r="DX16" s="439">
        <v>3</v>
      </c>
      <c r="DY16" s="439">
        <v>2</v>
      </c>
      <c r="DZ16" s="439">
        <v>1</v>
      </c>
      <c r="EA16" s="439"/>
      <c r="EB16" s="439"/>
      <c r="EC16" s="439"/>
      <c r="ED16" s="439"/>
      <c r="EE16" s="22"/>
    </row>
    <row r="17" spans="2:139" ht="17.25" customHeight="1" x14ac:dyDescent="0.35">
      <c r="B17" s="428" t="s">
        <v>171</v>
      </c>
      <c r="C17" s="40"/>
      <c r="D17" s="40"/>
      <c r="E17" s="40"/>
      <c r="H17" s="42" t="s">
        <v>204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1"/>
      <c r="BQ17" s="41"/>
      <c r="BR17" s="41"/>
      <c r="BS17" s="42" t="s">
        <v>205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1"/>
      <c r="EB17" s="41"/>
      <c r="EC17" s="41"/>
      <c r="ED17" s="41"/>
      <c r="EE17" s="41"/>
    </row>
    <row r="18" spans="2:139" ht="15" x14ac:dyDescent="0.35">
      <c r="B18" s="93" t="s">
        <v>256</v>
      </c>
      <c r="C18" s="46"/>
      <c r="D18" s="409"/>
      <c r="E18" s="40"/>
      <c r="H18" s="42" t="s">
        <v>145</v>
      </c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S18" s="42" t="s">
        <v>145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</row>
    <row r="19" spans="2:139" ht="15" x14ac:dyDescent="0.35">
      <c r="B19" s="93" t="s">
        <v>257</v>
      </c>
      <c r="C19" s="409"/>
      <c r="D19" s="409"/>
      <c r="E19" s="40"/>
      <c r="G19" s="20"/>
      <c r="H19" s="438">
        <v>1</v>
      </c>
      <c r="I19" s="438">
        <v>2</v>
      </c>
      <c r="J19" s="438">
        <v>3</v>
      </c>
      <c r="K19" s="438">
        <v>4</v>
      </c>
      <c r="L19" s="438">
        <v>5</v>
      </c>
      <c r="M19" s="438">
        <v>6</v>
      </c>
      <c r="N19" s="438">
        <v>7</v>
      </c>
      <c r="O19" s="438">
        <v>8</v>
      </c>
      <c r="P19" s="438">
        <v>9</v>
      </c>
      <c r="Q19" s="438">
        <v>10</v>
      </c>
      <c r="R19" s="438">
        <v>11</v>
      </c>
      <c r="S19" s="438">
        <v>12</v>
      </c>
      <c r="T19" s="438">
        <v>13</v>
      </c>
      <c r="U19" s="438">
        <v>14</v>
      </c>
      <c r="V19" s="438">
        <v>15</v>
      </c>
      <c r="W19" s="438">
        <v>16</v>
      </c>
      <c r="X19" s="438">
        <v>17</v>
      </c>
      <c r="Y19" s="438">
        <v>18</v>
      </c>
      <c r="Z19" s="438">
        <v>19</v>
      </c>
      <c r="AA19" s="438">
        <v>20</v>
      </c>
      <c r="AB19" s="438">
        <v>21</v>
      </c>
      <c r="AC19" s="438">
        <v>22</v>
      </c>
      <c r="AD19" s="438">
        <v>23</v>
      </c>
      <c r="AE19" s="438">
        <v>24</v>
      </c>
      <c r="AF19" s="438">
        <v>25</v>
      </c>
      <c r="AG19" s="438">
        <v>26</v>
      </c>
      <c r="AH19" s="438">
        <v>27</v>
      </c>
      <c r="AI19" s="438">
        <v>28</v>
      </c>
      <c r="AJ19" s="438">
        <v>29</v>
      </c>
      <c r="AK19" s="438">
        <v>30</v>
      </c>
      <c r="AL19" s="438">
        <v>31</v>
      </c>
      <c r="AM19" s="438">
        <v>32</v>
      </c>
      <c r="AN19" s="438">
        <v>33</v>
      </c>
      <c r="AO19" s="438">
        <v>34</v>
      </c>
      <c r="AP19" s="438">
        <v>35</v>
      </c>
      <c r="AQ19" s="438">
        <v>36</v>
      </c>
      <c r="AR19" s="438">
        <v>37</v>
      </c>
      <c r="AS19" s="438">
        <v>38</v>
      </c>
      <c r="AT19" s="438">
        <v>39</v>
      </c>
      <c r="AU19" s="438">
        <v>40</v>
      </c>
      <c r="AV19" s="438">
        <v>41</v>
      </c>
      <c r="AW19" s="438">
        <v>42</v>
      </c>
      <c r="AX19" s="438">
        <v>43</v>
      </c>
      <c r="AY19" s="438">
        <v>44</v>
      </c>
      <c r="AZ19" s="438">
        <v>45</v>
      </c>
      <c r="BA19" s="438">
        <v>46</v>
      </c>
      <c r="BB19" s="438">
        <v>47</v>
      </c>
      <c r="BC19" s="438">
        <v>48</v>
      </c>
      <c r="BD19" s="438">
        <v>49</v>
      </c>
      <c r="BE19" s="438">
        <v>50</v>
      </c>
      <c r="BF19" s="438">
        <v>51</v>
      </c>
      <c r="BG19" s="438">
        <v>52</v>
      </c>
      <c r="BH19" s="438">
        <v>53</v>
      </c>
      <c r="BI19" s="438">
        <v>54</v>
      </c>
      <c r="BJ19" s="438">
        <v>55</v>
      </c>
      <c r="BK19" s="438">
        <v>56</v>
      </c>
      <c r="BL19" s="438">
        <v>57</v>
      </c>
      <c r="BM19" s="438">
        <v>58</v>
      </c>
      <c r="BN19" s="438">
        <v>59</v>
      </c>
      <c r="BO19" s="438">
        <v>60</v>
      </c>
      <c r="BP19" s="345"/>
      <c r="BQ19" s="345"/>
      <c r="BR19" s="20"/>
      <c r="BS19" s="438">
        <v>1</v>
      </c>
      <c r="BT19" s="438">
        <v>2</v>
      </c>
      <c r="BU19" s="438">
        <v>3</v>
      </c>
      <c r="BV19" s="438">
        <v>4</v>
      </c>
      <c r="BW19" s="438">
        <v>5</v>
      </c>
      <c r="BX19" s="438">
        <v>6</v>
      </c>
      <c r="BY19" s="438">
        <v>7</v>
      </c>
      <c r="BZ19" s="438">
        <v>8</v>
      </c>
      <c r="CA19" s="438">
        <v>9</v>
      </c>
      <c r="CB19" s="438">
        <v>10</v>
      </c>
      <c r="CC19" s="438">
        <v>11</v>
      </c>
      <c r="CD19" s="438">
        <v>12</v>
      </c>
      <c r="CE19" s="438">
        <v>13</v>
      </c>
      <c r="CF19" s="438">
        <v>14</v>
      </c>
      <c r="CG19" s="438">
        <v>15</v>
      </c>
      <c r="CH19" s="438">
        <v>16</v>
      </c>
      <c r="CI19" s="438">
        <v>17</v>
      </c>
      <c r="CJ19" s="438">
        <v>18</v>
      </c>
      <c r="CK19" s="438">
        <v>19</v>
      </c>
      <c r="CL19" s="438">
        <v>20</v>
      </c>
      <c r="CM19" s="438">
        <v>21</v>
      </c>
      <c r="CN19" s="438">
        <v>22</v>
      </c>
      <c r="CO19" s="438">
        <v>23</v>
      </c>
      <c r="CP19" s="438">
        <v>24</v>
      </c>
      <c r="CQ19" s="438">
        <v>25</v>
      </c>
      <c r="CR19" s="438">
        <v>26</v>
      </c>
      <c r="CS19" s="438">
        <v>27</v>
      </c>
      <c r="CT19" s="438">
        <v>28</v>
      </c>
      <c r="CU19" s="438">
        <v>29</v>
      </c>
      <c r="CV19" s="438">
        <v>30</v>
      </c>
      <c r="CW19" s="438">
        <v>31</v>
      </c>
      <c r="CX19" s="438">
        <v>32</v>
      </c>
      <c r="CY19" s="438">
        <v>33</v>
      </c>
      <c r="CZ19" s="438">
        <v>34</v>
      </c>
      <c r="DA19" s="438">
        <v>35</v>
      </c>
      <c r="DB19" s="438">
        <v>36</v>
      </c>
      <c r="DC19" s="438">
        <v>37</v>
      </c>
      <c r="DD19" s="438">
        <v>38</v>
      </c>
      <c r="DE19" s="438">
        <v>39</v>
      </c>
      <c r="DF19" s="438">
        <v>40</v>
      </c>
      <c r="DG19" s="438">
        <v>41</v>
      </c>
      <c r="DH19" s="438">
        <v>42</v>
      </c>
      <c r="DI19" s="438">
        <v>43</v>
      </c>
      <c r="DJ19" s="438">
        <v>44</v>
      </c>
      <c r="DK19" s="438">
        <v>45</v>
      </c>
      <c r="DL19" s="438">
        <v>46</v>
      </c>
      <c r="DM19" s="438">
        <v>47</v>
      </c>
      <c r="DN19" s="438">
        <v>48</v>
      </c>
      <c r="DO19" s="438">
        <v>49</v>
      </c>
      <c r="DP19" s="438">
        <v>50</v>
      </c>
      <c r="DQ19" s="438">
        <v>51</v>
      </c>
      <c r="DR19" s="438">
        <v>52</v>
      </c>
      <c r="DS19" s="438">
        <v>53</v>
      </c>
      <c r="DT19" s="438">
        <v>54</v>
      </c>
      <c r="DU19" s="438">
        <v>55</v>
      </c>
      <c r="DV19" s="438">
        <v>56</v>
      </c>
      <c r="DW19" s="438">
        <v>57</v>
      </c>
      <c r="DX19" s="438">
        <v>58</v>
      </c>
      <c r="DY19" s="438">
        <v>59</v>
      </c>
      <c r="DZ19" s="438">
        <v>60</v>
      </c>
      <c r="EA19" s="345"/>
    </row>
    <row r="20" spans="2:139" x14ac:dyDescent="0.35">
      <c r="B20" s="93"/>
      <c r="C20" s="46"/>
      <c r="D20" s="46"/>
      <c r="F20" s="571" t="s">
        <v>144</v>
      </c>
      <c r="G20" s="45">
        <v>139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83"/>
      <c r="AG20" s="483"/>
      <c r="AH20" s="483"/>
      <c r="AI20" s="483"/>
      <c r="AJ20" s="483"/>
      <c r="AK20" s="483"/>
      <c r="AL20" s="483"/>
      <c r="AM20" s="483"/>
      <c r="AN20" s="483"/>
      <c r="AO20" s="483"/>
      <c r="AP20" s="483"/>
      <c r="AQ20" s="483"/>
      <c r="AR20" s="483"/>
      <c r="AS20" s="483"/>
      <c r="AT20" s="483"/>
      <c r="AU20" s="483"/>
      <c r="AV20" s="483"/>
      <c r="AW20" s="483"/>
      <c r="AX20" s="483"/>
      <c r="AY20" s="483"/>
      <c r="AZ20" s="483"/>
      <c r="BA20" s="483"/>
      <c r="BB20" s="483"/>
      <c r="BC20" s="483"/>
      <c r="BD20" s="483"/>
      <c r="BE20" s="483"/>
      <c r="BF20" s="483"/>
      <c r="BG20" s="483"/>
      <c r="BH20" s="483"/>
      <c r="BI20" s="483"/>
      <c r="BJ20" s="483"/>
      <c r="BK20" s="483"/>
      <c r="BL20" s="483"/>
      <c r="BM20" s="483"/>
      <c r="BN20" s="483"/>
      <c r="BO20" s="483"/>
      <c r="BP20" s="484">
        <v>139</v>
      </c>
      <c r="BQ20" s="20"/>
      <c r="BR20" s="45">
        <v>139</v>
      </c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83"/>
      <c r="CR20" s="483"/>
      <c r="CS20" s="483"/>
      <c r="CT20" s="483"/>
      <c r="CU20" s="483"/>
      <c r="CV20" s="483"/>
      <c r="CW20" s="483"/>
      <c r="CX20" s="483"/>
      <c r="CY20" s="483"/>
      <c r="CZ20" s="483"/>
      <c r="DA20" s="483"/>
      <c r="DB20" s="483"/>
      <c r="DC20" s="483"/>
      <c r="DD20" s="483"/>
      <c r="DE20" s="483"/>
      <c r="DF20" s="483"/>
      <c r="DG20" s="483"/>
      <c r="DH20" s="483"/>
      <c r="DI20" s="483"/>
      <c r="DJ20" s="483"/>
      <c r="DK20" s="483"/>
      <c r="DL20" s="483"/>
      <c r="DM20" s="483"/>
      <c r="DN20" s="483"/>
      <c r="DO20" s="483"/>
      <c r="DP20" s="483"/>
      <c r="DQ20" s="483"/>
      <c r="DR20" s="483"/>
      <c r="DS20" s="483"/>
      <c r="DT20" s="483"/>
      <c r="DU20" s="483"/>
      <c r="DV20" s="483"/>
      <c r="DW20" s="483"/>
      <c r="DX20" s="483"/>
      <c r="DY20" s="483"/>
      <c r="DZ20" s="483"/>
      <c r="EA20" s="484">
        <v>139</v>
      </c>
      <c r="EB20" s="571" t="s">
        <v>144</v>
      </c>
      <c r="EC20" s="43"/>
      <c r="ED20" s="43"/>
      <c r="EE20" s="43"/>
      <c r="EF20" s="43"/>
      <c r="EG20" s="43"/>
      <c r="EH20" s="43"/>
      <c r="EI20" s="43"/>
    </row>
    <row r="21" spans="2:139" ht="15" thickBot="1" x14ac:dyDescent="0.4">
      <c r="B21" s="93"/>
      <c r="C21" s="46"/>
      <c r="D21" s="46"/>
      <c r="F21" s="571"/>
      <c r="G21" s="45">
        <v>138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83"/>
      <c r="AG21" s="483"/>
      <c r="AH21" s="483"/>
      <c r="AI21" s="483"/>
      <c r="AJ21" s="483"/>
      <c r="AK21" s="483"/>
      <c r="AL21" s="483"/>
      <c r="AM21" s="483"/>
      <c r="AN21" s="483"/>
      <c r="AO21" s="483"/>
      <c r="AP21" s="483"/>
      <c r="AQ21" s="483"/>
      <c r="AR21" s="483"/>
      <c r="AS21" s="483"/>
      <c r="AT21" s="483"/>
      <c r="AU21" s="483"/>
      <c r="AV21" s="483"/>
      <c r="AW21" s="483"/>
      <c r="AX21" s="483"/>
      <c r="AY21" s="483"/>
      <c r="AZ21" s="483"/>
      <c r="BA21" s="483"/>
      <c r="BB21" s="483"/>
      <c r="BC21" s="483"/>
      <c r="BD21" s="483"/>
      <c r="BE21" s="483"/>
      <c r="BF21" s="483"/>
      <c r="BG21" s="483"/>
      <c r="BH21" s="483"/>
      <c r="BI21" s="483"/>
      <c r="BJ21" s="483"/>
      <c r="BK21" s="483"/>
      <c r="BL21" s="483"/>
      <c r="BM21" s="483"/>
      <c r="BN21" s="483"/>
      <c r="BO21" s="483"/>
      <c r="BP21" s="484">
        <v>138</v>
      </c>
      <c r="BQ21" s="20"/>
      <c r="BR21" s="45">
        <v>138</v>
      </c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83"/>
      <c r="CR21" s="483"/>
      <c r="CS21" s="483"/>
      <c r="CT21" s="483"/>
      <c r="CU21" s="483"/>
      <c r="CV21" s="483"/>
      <c r="CW21" s="483"/>
      <c r="CX21" s="483"/>
      <c r="CY21" s="483"/>
      <c r="CZ21" s="483"/>
      <c r="DA21" s="483"/>
      <c r="DB21" s="483"/>
      <c r="DC21" s="483"/>
      <c r="DD21" s="483"/>
      <c r="DE21" s="483"/>
      <c r="DF21" s="483"/>
      <c r="DG21" s="483"/>
      <c r="DH21" s="483"/>
      <c r="DI21" s="483"/>
      <c r="DJ21" s="483"/>
      <c r="DK21" s="483"/>
      <c r="DL21" s="483"/>
      <c r="DM21" s="483"/>
      <c r="DN21" s="483"/>
      <c r="DO21" s="483"/>
      <c r="DP21" s="483"/>
      <c r="DQ21" s="483"/>
      <c r="DR21" s="483"/>
      <c r="DS21" s="483"/>
      <c r="DT21" s="483"/>
      <c r="DU21" s="483"/>
      <c r="DV21" s="483"/>
      <c r="DW21" s="483"/>
      <c r="DX21" s="483"/>
      <c r="DY21" s="483"/>
      <c r="DZ21" s="483"/>
      <c r="EA21" s="484">
        <v>138</v>
      </c>
      <c r="EB21" s="571"/>
      <c r="EC21" s="43"/>
      <c r="ED21" s="43"/>
      <c r="EE21" s="43"/>
      <c r="EF21" s="43"/>
      <c r="EG21" s="43"/>
      <c r="EH21" s="43"/>
      <c r="EI21" s="43"/>
    </row>
    <row r="22" spans="2:139" ht="16" thickBot="1" x14ac:dyDescent="0.4">
      <c r="F22" s="571"/>
      <c r="G22" s="387">
        <v>137</v>
      </c>
      <c r="H22" s="388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389"/>
      <c r="AB22" s="389"/>
      <c r="AC22" s="389"/>
      <c r="AD22" s="389"/>
      <c r="AE22" s="389"/>
      <c r="AF22" s="389"/>
      <c r="AG22" s="389"/>
      <c r="AH22" s="389"/>
      <c r="AI22" s="389"/>
      <c r="AJ22" s="389"/>
      <c r="AK22" s="389"/>
      <c r="AL22" s="389"/>
      <c r="AM22" s="389"/>
      <c r="AN22" s="389"/>
      <c r="AO22" s="389"/>
      <c r="AP22" s="389"/>
      <c r="AQ22" s="389"/>
      <c r="AR22" s="389"/>
      <c r="AS22" s="389"/>
      <c r="AT22" s="389"/>
      <c r="AU22" s="389"/>
      <c r="AV22" s="389"/>
      <c r="AW22" s="389"/>
      <c r="AX22" s="389"/>
      <c r="AY22" s="389"/>
      <c r="AZ22" s="389"/>
      <c r="BA22" s="389"/>
      <c r="BB22" s="389"/>
      <c r="BC22" s="389"/>
      <c r="BD22" s="389"/>
      <c r="BE22" s="389"/>
      <c r="BF22" s="389"/>
      <c r="BG22" s="389"/>
      <c r="BH22" s="389"/>
      <c r="BI22" s="389"/>
      <c r="BJ22" s="389"/>
      <c r="BK22" s="389"/>
      <c r="BL22" s="389"/>
      <c r="BM22" s="389"/>
      <c r="BN22" s="389"/>
      <c r="BO22" s="389"/>
      <c r="BP22" s="390">
        <v>137</v>
      </c>
      <c r="BR22" s="387">
        <v>137</v>
      </c>
      <c r="BS22" s="388"/>
      <c r="BT22" s="389"/>
      <c r="BU22" s="389"/>
      <c r="BV22" s="389"/>
      <c r="BW22" s="389"/>
      <c r="BX22" s="389"/>
      <c r="BY22" s="389"/>
      <c r="BZ22" s="389"/>
      <c r="CA22" s="389"/>
      <c r="CB22" s="389"/>
      <c r="CC22" s="389"/>
      <c r="CD22" s="389"/>
      <c r="CE22" s="389"/>
      <c r="CF22" s="389"/>
      <c r="CG22" s="389"/>
      <c r="CH22" s="389"/>
      <c r="CI22" s="389"/>
      <c r="CJ22" s="389"/>
      <c r="CK22" s="389"/>
      <c r="CL22" s="389"/>
      <c r="CM22" s="389"/>
      <c r="CN22" s="389"/>
      <c r="CO22" s="389"/>
      <c r="CP22" s="389"/>
      <c r="CQ22" s="389"/>
      <c r="CR22" s="389"/>
      <c r="CS22" s="389"/>
      <c r="CT22" s="389"/>
      <c r="CU22" s="389"/>
      <c r="CV22" s="389"/>
      <c r="CW22" s="485"/>
      <c r="CX22" s="485"/>
      <c r="CY22" s="485"/>
      <c r="CZ22" s="485"/>
      <c r="DA22" s="485"/>
      <c r="DB22" s="485"/>
      <c r="DC22" s="485"/>
      <c r="DD22" s="485"/>
      <c r="DE22" s="485"/>
      <c r="DF22" s="485"/>
      <c r="DG22" s="485"/>
      <c r="DH22" s="485"/>
      <c r="DI22" s="485"/>
      <c r="DJ22" s="485"/>
      <c r="DK22" s="485"/>
      <c r="DL22" s="485"/>
      <c r="DM22" s="485"/>
      <c r="DN22" s="485"/>
      <c r="DO22" s="485"/>
      <c r="DP22" s="485"/>
      <c r="DQ22" s="485"/>
      <c r="DR22" s="485"/>
      <c r="DS22" s="485"/>
      <c r="DT22" s="485"/>
      <c r="DU22" s="485"/>
      <c r="DV22" s="485"/>
      <c r="DW22" s="485"/>
      <c r="DX22" s="485"/>
      <c r="DY22" s="485"/>
      <c r="DZ22" s="485"/>
      <c r="EA22" s="486">
        <v>137</v>
      </c>
      <c r="EB22" s="571"/>
      <c r="EC22" s="43"/>
      <c r="ED22" s="43"/>
      <c r="EE22" s="43"/>
      <c r="EF22" s="43"/>
      <c r="EG22" s="43"/>
      <c r="EH22" s="43"/>
      <c r="EI22" s="43"/>
    </row>
    <row r="23" spans="2:139" x14ac:dyDescent="0.35">
      <c r="B23" s="291" t="s">
        <v>120</v>
      </c>
      <c r="C23" s="292"/>
      <c r="D23" s="292"/>
      <c r="E23" s="293"/>
      <c r="F23" s="571"/>
      <c r="G23" s="45">
        <v>136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5">
        <v>136</v>
      </c>
      <c r="BQ23" s="20"/>
      <c r="BR23" s="45">
        <v>136</v>
      </c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5">
        <v>136</v>
      </c>
      <c r="EB23" s="571"/>
      <c r="EC23" s="43"/>
      <c r="ED23" s="43"/>
      <c r="EE23" s="43"/>
      <c r="EF23" s="43"/>
      <c r="EG23" s="43"/>
      <c r="EH23" s="43"/>
      <c r="EI23" s="43"/>
    </row>
    <row r="24" spans="2:139" x14ac:dyDescent="0.35">
      <c r="B24" s="294" t="s">
        <v>116</v>
      </c>
      <c r="C24" s="295" t="s">
        <v>117</v>
      </c>
      <c r="D24" s="295" t="s">
        <v>105</v>
      </c>
      <c r="E24" s="296" t="s">
        <v>11</v>
      </c>
      <c r="F24" s="571"/>
      <c r="G24" s="45">
        <v>135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5">
        <v>135</v>
      </c>
      <c r="BQ24" s="20"/>
      <c r="BR24" s="45">
        <v>135</v>
      </c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5">
        <v>135</v>
      </c>
      <c r="EB24" s="571"/>
      <c r="EC24" s="43"/>
      <c r="ED24" s="43"/>
      <c r="EE24" s="43"/>
      <c r="EF24" s="43"/>
      <c r="EG24" s="43"/>
      <c r="EH24" s="43"/>
      <c r="EI24" s="43"/>
    </row>
    <row r="25" spans="2:139" x14ac:dyDescent="0.35">
      <c r="B25" s="297">
        <v>1.014799154334038E-2</v>
      </c>
      <c r="C25" s="298">
        <v>1.7328825021132713E-2</v>
      </c>
      <c r="D25" s="299">
        <f>C25-B25</f>
        <v>7.1808334777923328E-3</v>
      </c>
      <c r="E25" s="300">
        <f>1/D25</f>
        <v>139.25960030860358</v>
      </c>
      <c r="F25" s="571"/>
      <c r="G25" s="45">
        <v>134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5">
        <v>134</v>
      </c>
      <c r="BQ25" s="20"/>
      <c r="BR25" s="45">
        <v>134</v>
      </c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5">
        <v>134</v>
      </c>
      <c r="EB25" s="571"/>
      <c r="EC25" s="43"/>
      <c r="ED25" s="43"/>
      <c r="EE25" s="43"/>
      <c r="EF25" s="43"/>
      <c r="EG25" s="43"/>
      <c r="EH25" s="43"/>
      <c r="EI25" s="43"/>
    </row>
    <row r="26" spans="2:139" ht="15" thickBot="1" x14ac:dyDescent="0.4">
      <c r="B26" s="380" t="s">
        <v>143</v>
      </c>
      <c r="C26" s="328">
        <f>B25*E25</f>
        <v>1.4132052462606706</v>
      </c>
      <c r="D26" s="301">
        <f>D25*E25</f>
        <v>1</v>
      </c>
      <c r="E26" s="327">
        <f>(1-C25)*E25</f>
        <v>136.84639506234291</v>
      </c>
      <c r="F26" s="571"/>
      <c r="G26" s="45">
        <v>133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5">
        <v>133</v>
      </c>
      <c r="BQ26" s="20"/>
      <c r="BR26" s="45">
        <v>133</v>
      </c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5">
        <v>133</v>
      </c>
      <c r="EB26" s="571"/>
      <c r="EC26" s="43"/>
      <c r="ED26" s="43"/>
      <c r="EE26" s="43"/>
      <c r="EF26" s="43"/>
      <c r="EG26" s="43"/>
      <c r="EH26" s="43"/>
      <c r="EI26" s="43"/>
    </row>
    <row r="27" spans="2:139" x14ac:dyDescent="0.35">
      <c r="G27" s="45">
        <v>132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5">
        <v>132</v>
      </c>
      <c r="BQ27" s="20"/>
      <c r="BR27" s="45">
        <v>132</v>
      </c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5">
        <v>132</v>
      </c>
      <c r="EB27" s="43"/>
      <c r="EC27" s="43"/>
      <c r="ED27" s="43"/>
      <c r="EE27" s="43"/>
      <c r="EF27" s="43"/>
      <c r="EG27" s="43"/>
      <c r="EH27" s="43"/>
      <c r="EI27" s="43"/>
    </row>
    <row r="28" spans="2:139" x14ac:dyDescent="0.35">
      <c r="G28" s="45">
        <v>131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5">
        <v>131</v>
      </c>
      <c r="BQ28" s="46"/>
      <c r="BR28" s="45">
        <v>131</v>
      </c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5">
        <v>131</v>
      </c>
      <c r="EB28" s="43"/>
      <c r="EC28" s="43"/>
      <c r="ED28" s="43"/>
      <c r="EE28" s="43"/>
      <c r="EF28" s="43"/>
      <c r="EG28" s="43"/>
      <c r="EH28" s="43"/>
      <c r="EI28" s="43"/>
    </row>
    <row r="29" spans="2:139" x14ac:dyDescent="0.35">
      <c r="G29" s="45">
        <v>130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5">
        <v>130</v>
      </c>
      <c r="BR29" s="45">
        <v>130</v>
      </c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5">
        <v>130</v>
      </c>
    </row>
    <row r="30" spans="2:139" x14ac:dyDescent="0.35">
      <c r="G30" s="45">
        <v>129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5">
        <v>129</v>
      </c>
      <c r="BR30" s="45">
        <v>129</v>
      </c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5">
        <v>129</v>
      </c>
    </row>
    <row r="31" spans="2:139" x14ac:dyDescent="0.35">
      <c r="G31" s="45">
        <v>128</v>
      </c>
      <c r="H31" s="346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5">
        <v>128</v>
      </c>
      <c r="BR31" s="45">
        <v>128</v>
      </c>
      <c r="BS31" s="346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5">
        <v>128</v>
      </c>
    </row>
    <row r="32" spans="2:139" x14ac:dyDescent="0.35">
      <c r="G32" s="45">
        <v>127</v>
      </c>
      <c r="H32" s="346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5">
        <v>127</v>
      </c>
      <c r="BR32" s="45">
        <v>127</v>
      </c>
      <c r="BS32" s="346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5">
        <v>127</v>
      </c>
    </row>
    <row r="33" spans="7:131" x14ac:dyDescent="0.35">
      <c r="G33" s="45">
        <v>126</v>
      </c>
      <c r="H33" s="346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5">
        <v>126</v>
      </c>
      <c r="BR33" s="45">
        <v>126</v>
      </c>
      <c r="BS33" s="346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5">
        <v>126</v>
      </c>
    </row>
    <row r="34" spans="7:131" x14ac:dyDescent="0.35">
      <c r="G34" s="45">
        <v>125</v>
      </c>
      <c r="H34" s="346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5">
        <v>125</v>
      </c>
      <c r="BR34" s="45">
        <v>125</v>
      </c>
      <c r="BS34" s="346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5">
        <v>125</v>
      </c>
    </row>
    <row r="35" spans="7:131" x14ac:dyDescent="0.35">
      <c r="G35" s="45">
        <v>124</v>
      </c>
      <c r="H35" s="346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5">
        <v>124</v>
      </c>
      <c r="BR35" s="45">
        <v>124</v>
      </c>
      <c r="BS35" s="346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5">
        <v>124</v>
      </c>
    </row>
    <row r="36" spans="7:131" x14ac:dyDescent="0.35">
      <c r="G36" s="45">
        <v>123</v>
      </c>
      <c r="H36" s="346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5">
        <v>123</v>
      </c>
      <c r="BR36" s="45">
        <v>123</v>
      </c>
      <c r="BS36" s="346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5">
        <v>123</v>
      </c>
    </row>
    <row r="37" spans="7:131" x14ac:dyDescent="0.35">
      <c r="G37" s="45">
        <v>122</v>
      </c>
      <c r="H37" s="346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5">
        <v>122</v>
      </c>
      <c r="BR37" s="45">
        <v>122</v>
      </c>
      <c r="BS37" s="346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5">
        <v>122</v>
      </c>
    </row>
    <row r="38" spans="7:131" x14ac:dyDescent="0.35">
      <c r="G38" s="45">
        <v>121</v>
      </c>
      <c r="H38" s="346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5">
        <v>121</v>
      </c>
      <c r="BR38" s="45">
        <v>121</v>
      </c>
      <c r="BS38" s="346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5">
        <v>121</v>
      </c>
    </row>
    <row r="39" spans="7:131" x14ac:dyDescent="0.35">
      <c r="G39" s="45">
        <v>120</v>
      </c>
      <c r="H39" s="346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5">
        <v>120</v>
      </c>
      <c r="BR39" s="45">
        <v>120</v>
      </c>
      <c r="BS39" s="346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5">
        <v>120</v>
      </c>
    </row>
    <row r="40" spans="7:131" x14ac:dyDescent="0.35">
      <c r="G40" s="45">
        <v>119</v>
      </c>
      <c r="H40" s="346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5">
        <v>119</v>
      </c>
      <c r="BR40" s="45">
        <v>119</v>
      </c>
      <c r="BS40" s="346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5">
        <v>119</v>
      </c>
    </row>
    <row r="41" spans="7:131" x14ac:dyDescent="0.35">
      <c r="G41" s="45">
        <v>118</v>
      </c>
      <c r="H41" s="346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5">
        <v>118</v>
      </c>
      <c r="BR41" s="45">
        <v>118</v>
      </c>
      <c r="BS41" s="346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5">
        <v>118</v>
      </c>
    </row>
    <row r="42" spans="7:131" x14ac:dyDescent="0.35">
      <c r="G42" s="45">
        <v>117</v>
      </c>
      <c r="H42" s="346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5">
        <v>117</v>
      </c>
      <c r="BR42" s="45">
        <v>117</v>
      </c>
      <c r="BS42" s="346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5">
        <v>117</v>
      </c>
    </row>
    <row r="43" spans="7:131" x14ac:dyDescent="0.35">
      <c r="G43" s="45">
        <v>116</v>
      </c>
      <c r="H43" s="346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5">
        <v>116</v>
      </c>
      <c r="BR43" s="45">
        <v>116</v>
      </c>
      <c r="BS43" s="346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5">
        <v>116</v>
      </c>
    </row>
    <row r="44" spans="7:131" x14ac:dyDescent="0.35">
      <c r="G44" s="45">
        <v>115</v>
      </c>
      <c r="H44" s="346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5">
        <v>115</v>
      </c>
      <c r="BR44" s="45">
        <v>115</v>
      </c>
      <c r="BS44" s="346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5">
        <v>115</v>
      </c>
    </row>
    <row r="45" spans="7:131" x14ac:dyDescent="0.35">
      <c r="G45" s="45">
        <v>114</v>
      </c>
      <c r="H45" s="346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5">
        <v>114</v>
      </c>
      <c r="BR45" s="45">
        <v>114</v>
      </c>
      <c r="BS45" s="346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5">
        <v>114</v>
      </c>
    </row>
    <row r="46" spans="7:131" x14ac:dyDescent="0.35">
      <c r="G46" s="45">
        <v>113</v>
      </c>
      <c r="H46" s="346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5">
        <v>113</v>
      </c>
      <c r="BR46" s="45">
        <v>113</v>
      </c>
      <c r="BS46" s="346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5">
        <v>113</v>
      </c>
    </row>
    <row r="47" spans="7:131" x14ac:dyDescent="0.35">
      <c r="G47" s="45">
        <v>112</v>
      </c>
      <c r="H47" s="346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5">
        <v>112</v>
      </c>
      <c r="BR47" s="45">
        <v>112</v>
      </c>
      <c r="BS47" s="346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5">
        <v>112</v>
      </c>
    </row>
    <row r="48" spans="7:131" x14ac:dyDescent="0.35">
      <c r="G48" s="45">
        <v>111</v>
      </c>
      <c r="H48" s="346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5">
        <v>111</v>
      </c>
      <c r="BR48" s="45">
        <v>111</v>
      </c>
      <c r="BS48" s="346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5">
        <v>111</v>
      </c>
    </row>
    <row r="49" spans="7:131" x14ac:dyDescent="0.35">
      <c r="G49" s="45">
        <v>110</v>
      </c>
      <c r="H49" s="346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5">
        <v>110</v>
      </c>
      <c r="BR49" s="45">
        <v>110</v>
      </c>
      <c r="BS49" s="346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5">
        <v>110</v>
      </c>
    </row>
    <row r="50" spans="7:131" x14ac:dyDescent="0.35">
      <c r="G50" s="45">
        <v>109</v>
      </c>
      <c r="H50" s="346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5">
        <v>109</v>
      </c>
      <c r="BR50" s="45">
        <v>109</v>
      </c>
      <c r="BS50" s="346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5">
        <v>109</v>
      </c>
    </row>
    <row r="51" spans="7:131" x14ac:dyDescent="0.35">
      <c r="G51" s="45">
        <v>108</v>
      </c>
      <c r="H51" s="346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5">
        <v>108</v>
      </c>
      <c r="BR51" s="45">
        <v>108</v>
      </c>
      <c r="BS51" s="346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5">
        <v>108</v>
      </c>
    </row>
    <row r="52" spans="7:131" x14ac:dyDescent="0.35">
      <c r="G52" s="45">
        <v>107</v>
      </c>
      <c r="H52" s="346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5">
        <v>107</v>
      </c>
      <c r="BR52" s="45">
        <v>107</v>
      </c>
      <c r="BS52" s="346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5">
        <v>107</v>
      </c>
    </row>
    <row r="53" spans="7:131" x14ac:dyDescent="0.35">
      <c r="G53" s="45">
        <v>106</v>
      </c>
      <c r="H53" s="346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5">
        <v>106</v>
      </c>
      <c r="BR53" s="45">
        <v>106</v>
      </c>
      <c r="BS53" s="346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5">
        <v>106</v>
      </c>
    </row>
    <row r="54" spans="7:131" x14ac:dyDescent="0.35">
      <c r="G54" s="45">
        <v>105</v>
      </c>
      <c r="H54" s="346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5">
        <v>105</v>
      </c>
      <c r="BR54" s="45">
        <v>105</v>
      </c>
      <c r="BS54" s="346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5">
        <v>105</v>
      </c>
    </row>
    <row r="55" spans="7:131" x14ac:dyDescent="0.35">
      <c r="G55" s="45">
        <v>104</v>
      </c>
      <c r="H55" s="346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5">
        <v>104</v>
      </c>
      <c r="BR55" s="45">
        <v>104</v>
      </c>
      <c r="BS55" s="346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5">
        <v>104</v>
      </c>
    </row>
    <row r="56" spans="7:131" x14ac:dyDescent="0.35">
      <c r="G56" s="45">
        <v>103</v>
      </c>
      <c r="H56" s="346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5">
        <v>103</v>
      </c>
      <c r="BR56" s="45">
        <v>103</v>
      </c>
      <c r="BS56" s="346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5">
        <v>103</v>
      </c>
    </row>
    <row r="57" spans="7:131" x14ac:dyDescent="0.35">
      <c r="G57" s="45">
        <v>102</v>
      </c>
      <c r="H57" s="346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5">
        <v>102</v>
      </c>
      <c r="BR57" s="45">
        <v>102</v>
      </c>
      <c r="BS57" s="346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5">
        <v>102</v>
      </c>
    </row>
    <row r="58" spans="7:131" x14ac:dyDescent="0.35">
      <c r="G58" s="45">
        <v>101</v>
      </c>
      <c r="H58" s="346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5">
        <v>101</v>
      </c>
      <c r="BR58" s="45">
        <v>101</v>
      </c>
      <c r="BS58" s="346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5">
        <v>101</v>
      </c>
    </row>
    <row r="59" spans="7:131" x14ac:dyDescent="0.35">
      <c r="G59" s="45">
        <v>100</v>
      </c>
      <c r="H59" s="346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5">
        <v>100</v>
      </c>
      <c r="BR59" s="45">
        <v>100</v>
      </c>
      <c r="BS59" s="346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5">
        <v>100</v>
      </c>
    </row>
    <row r="60" spans="7:131" x14ac:dyDescent="0.35">
      <c r="G60" s="45">
        <v>99</v>
      </c>
      <c r="H60" s="346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5">
        <v>99</v>
      </c>
      <c r="BR60" s="45">
        <v>99</v>
      </c>
      <c r="BS60" s="346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5">
        <v>99</v>
      </c>
    </row>
    <row r="61" spans="7:131" x14ac:dyDescent="0.35">
      <c r="G61" s="45">
        <v>98</v>
      </c>
      <c r="H61" s="346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5">
        <v>98</v>
      </c>
      <c r="BR61" s="45">
        <v>98</v>
      </c>
      <c r="BS61" s="346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5">
        <v>98</v>
      </c>
    </row>
    <row r="62" spans="7:131" x14ac:dyDescent="0.35">
      <c r="G62" s="45">
        <v>97</v>
      </c>
      <c r="H62" s="346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5">
        <v>97</v>
      </c>
      <c r="BR62" s="45">
        <v>97</v>
      </c>
      <c r="BS62" s="346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5">
        <v>97</v>
      </c>
    </row>
    <row r="63" spans="7:131" x14ac:dyDescent="0.35">
      <c r="G63" s="45">
        <v>96</v>
      </c>
      <c r="H63" s="346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5">
        <v>96</v>
      </c>
      <c r="BR63" s="45">
        <v>96</v>
      </c>
      <c r="BS63" s="346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5">
        <v>96</v>
      </c>
    </row>
    <row r="64" spans="7:131" x14ac:dyDescent="0.35">
      <c r="G64" s="45">
        <v>95</v>
      </c>
      <c r="H64" s="346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5">
        <v>95</v>
      </c>
      <c r="BR64" s="45">
        <v>95</v>
      </c>
      <c r="BS64" s="346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5">
        <v>95</v>
      </c>
    </row>
    <row r="65" spans="7:131" x14ac:dyDescent="0.35">
      <c r="G65" s="45">
        <v>94</v>
      </c>
      <c r="H65" s="346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5">
        <v>94</v>
      </c>
      <c r="BR65" s="45">
        <v>94</v>
      </c>
      <c r="BS65" s="346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5">
        <v>94</v>
      </c>
    </row>
    <row r="66" spans="7:131" x14ac:dyDescent="0.35">
      <c r="G66" s="45">
        <v>93</v>
      </c>
      <c r="H66" s="346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5">
        <v>93</v>
      </c>
      <c r="BR66" s="45">
        <v>93</v>
      </c>
      <c r="BS66" s="346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5">
        <v>93</v>
      </c>
    </row>
    <row r="67" spans="7:131" x14ac:dyDescent="0.35">
      <c r="G67" s="45">
        <v>92</v>
      </c>
      <c r="H67" s="346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5">
        <v>92</v>
      </c>
      <c r="BR67" s="45">
        <v>92</v>
      </c>
      <c r="BS67" s="346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5">
        <v>92</v>
      </c>
    </row>
    <row r="68" spans="7:131" x14ac:dyDescent="0.35">
      <c r="G68" s="45">
        <v>91</v>
      </c>
      <c r="H68" s="346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5">
        <v>91</v>
      </c>
      <c r="BR68" s="45">
        <v>91</v>
      </c>
      <c r="BS68" s="346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5">
        <v>91</v>
      </c>
    </row>
    <row r="69" spans="7:131" x14ac:dyDescent="0.35">
      <c r="G69" s="45">
        <v>90</v>
      </c>
      <c r="H69" s="346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5">
        <v>90</v>
      </c>
      <c r="BR69" s="45">
        <v>90</v>
      </c>
      <c r="BS69" s="346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5">
        <v>90</v>
      </c>
    </row>
    <row r="70" spans="7:131" x14ac:dyDescent="0.35">
      <c r="G70" s="45">
        <v>89</v>
      </c>
      <c r="H70" s="346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5">
        <v>89</v>
      </c>
      <c r="BR70" s="45">
        <v>89</v>
      </c>
      <c r="BS70" s="346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5">
        <v>89</v>
      </c>
    </row>
    <row r="71" spans="7:131" x14ac:dyDescent="0.35">
      <c r="G71" s="45">
        <v>88</v>
      </c>
      <c r="H71" s="346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5">
        <v>88</v>
      </c>
      <c r="BR71" s="45">
        <v>88</v>
      </c>
      <c r="BS71" s="346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5">
        <v>88</v>
      </c>
    </row>
    <row r="72" spans="7:131" x14ac:dyDescent="0.35">
      <c r="G72" s="45">
        <v>87</v>
      </c>
      <c r="H72" s="346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5">
        <v>87</v>
      </c>
      <c r="BR72" s="45">
        <v>87</v>
      </c>
      <c r="BS72" s="346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5">
        <v>87</v>
      </c>
    </row>
    <row r="73" spans="7:131" x14ac:dyDescent="0.35">
      <c r="G73" s="45">
        <v>86</v>
      </c>
      <c r="H73" s="346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5">
        <v>86</v>
      </c>
      <c r="BR73" s="45">
        <v>86</v>
      </c>
      <c r="BS73" s="346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5">
        <v>86</v>
      </c>
    </row>
    <row r="74" spans="7:131" x14ac:dyDescent="0.35">
      <c r="G74" s="45">
        <v>85</v>
      </c>
      <c r="H74" s="346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5">
        <v>85</v>
      </c>
      <c r="BR74" s="45">
        <v>85</v>
      </c>
      <c r="BS74" s="346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5">
        <v>85</v>
      </c>
    </row>
    <row r="75" spans="7:131" x14ac:dyDescent="0.35">
      <c r="G75" s="45">
        <v>84</v>
      </c>
      <c r="H75" s="346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5">
        <v>84</v>
      </c>
      <c r="BR75" s="45">
        <v>84</v>
      </c>
      <c r="BS75" s="346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5">
        <v>84</v>
      </c>
    </row>
    <row r="76" spans="7:131" x14ac:dyDescent="0.35">
      <c r="G76" s="45">
        <v>83</v>
      </c>
      <c r="H76" s="346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5">
        <v>83</v>
      </c>
      <c r="BR76" s="45">
        <v>83</v>
      </c>
      <c r="BS76" s="346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5">
        <v>83</v>
      </c>
    </row>
    <row r="77" spans="7:131" x14ac:dyDescent="0.35">
      <c r="G77" s="45">
        <v>82</v>
      </c>
      <c r="H77" s="346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5">
        <v>82</v>
      </c>
      <c r="BR77" s="45">
        <v>82</v>
      </c>
      <c r="BS77" s="346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5">
        <v>82</v>
      </c>
    </row>
    <row r="78" spans="7:131" x14ac:dyDescent="0.35">
      <c r="G78" s="45">
        <v>81</v>
      </c>
      <c r="H78" s="346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5">
        <v>81</v>
      </c>
      <c r="BR78" s="45">
        <v>81</v>
      </c>
      <c r="BS78" s="346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5">
        <v>81</v>
      </c>
    </row>
    <row r="79" spans="7:131" x14ac:dyDescent="0.35">
      <c r="G79" s="45">
        <v>80</v>
      </c>
      <c r="H79" s="346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5">
        <v>80</v>
      </c>
      <c r="BR79" s="45">
        <v>80</v>
      </c>
      <c r="BS79" s="346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5">
        <v>80</v>
      </c>
    </row>
    <row r="80" spans="7:131" x14ac:dyDescent="0.35">
      <c r="G80" s="45">
        <v>79</v>
      </c>
      <c r="H80" s="346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5">
        <v>79</v>
      </c>
      <c r="BR80" s="45">
        <v>79</v>
      </c>
      <c r="BS80" s="346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5">
        <v>79</v>
      </c>
    </row>
    <row r="81" spans="7:131" x14ac:dyDescent="0.35">
      <c r="G81" s="45">
        <v>78</v>
      </c>
      <c r="H81" s="346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5">
        <v>78</v>
      </c>
      <c r="BR81" s="45">
        <v>78</v>
      </c>
      <c r="BS81" s="346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5">
        <v>78</v>
      </c>
    </row>
    <row r="82" spans="7:131" x14ac:dyDescent="0.35">
      <c r="G82" s="45">
        <v>77</v>
      </c>
      <c r="H82" s="346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5">
        <v>77</v>
      </c>
      <c r="BR82" s="45">
        <v>77</v>
      </c>
      <c r="BS82" s="346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5">
        <v>77</v>
      </c>
    </row>
    <row r="83" spans="7:131" x14ac:dyDescent="0.35">
      <c r="G83" s="45">
        <v>76</v>
      </c>
      <c r="H83" s="346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5">
        <v>76</v>
      </c>
      <c r="BR83" s="45">
        <v>76</v>
      </c>
      <c r="BS83" s="346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5">
        <v>76</v>
      </c>
    </row>
    <row r="84" spans="7:131" x14ac:dyDescent="0.35">
      <c r="G84" s="45">
        <v>75</v>
      </c>
      <c r="H84" s="346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5">
        <v>75</v>
      </c>
      <c r="BR84" s="45">
        <v>75</v>
      </c>
      <c r="BS84" s="346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5">
        <v>75</v>
      </c>
    </row>
    <row r="85" spans="7:131" x14ac:dyDescent="0.35">
      <c r="G85" s="45">
        <v>74</v>
      </c>
      <c r="H85" s="346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5">
        <v>74</v>
      </c>
      <c r="BR85" s="45">
        <v>74</v>
      </c>
      <c r="BS85" s="346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5">
        <v>74</v>
      </c>
    </row>
    <row r="86" spans="7:131" x14ac:dyDescent="0.35">
      <c r="G86" s="45">
        <v>73</v>
      </c>
      <c r="H86" s="346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5">
        <v>73</v>
      </c>
      <c r="BR86" s="45">
        <v>73</v>
      </c>
      <c r="BS86" s="346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5">
        <v>73</v>
      </c>
    </row>
    <row r="87" spans="7:131" x14ac:dyDescent="0.35">
      <c r="G87" s="45">
        <v>72</v>
      </c>
      <c r="H87" s="346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5">
        <v>72</v>
      </c>
      <c r="BR87" s="45">
        <v>72</v>
      </c>
      <c r="BS87" s="346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5">
        <v>72</v>
      </c>
    </row>
    <row r="88" spans="7:131" x14ac:dyDescent="0.35">
      <c r="G88" s="45">
        <v>71</v>
      </c>
      <c r="H88" s="346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5">
        <v>71</v>
      </c>
      <c r="BQ88" s="41"/>
      <c r="BR88" s="45">
        <v>71</v>
      </c>
      <c r="BS88" s="346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5">
        <v>71</v>
      </c>
    </row>
    <row r="89" spans="7:131" x14ac:dyDescent="0.35">
      <c r="G89" s="45">
        <v>70</v>
      </c>
      <c r="H89" s="346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5">
        <v>70</v>
      </c>
      <c r="BR89" s="45">
        <v>70</v>
      </c>
      <c r="BS89" s="346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5">
        <v>70</v>
      </c>
    </row>
    <row r="90" spans="7:131" x14ac:dyDescent="0.35">
      <c r="G90" s="45">
        <v>69</v>
      </c>
      <c r="H90" s="346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5">
        <v>69</v>
      </c>
      <c r="BR90" s="45">
        <v>69</v>
      </c>
      <c r="BS90" s="346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5">
        <v>69</v>
      </c>
    </row>
    <row r="91" spans="7:131" x14ac:dyDescent="0.35">
      <c r="G91" s="45">
        <v>68</v>
      </c>
      <c r="H91" s="346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5">
        <v>68</v>
      </c>
      <c r="BR91" s="45">
        <v>68</v>
      </c>
      <c r="BS91" s="346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5">
        <v>68</v>
      </c>
    </row>
    <row r="92" spans="7:131" x14ac:dyDescent="0.35">
      <c r="G92" s="45">
        <v>67</v>
      </c>
      <c r="H92" s="346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5">
        <v>67</v>
      </c>
      <c r="BR92" s="45">
        <v>67</v>
      </c>
      <c r="BS92" s="346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5">
        <v>67</v>
      </c>
    </row>
    <row r="93" spans="7:131" x14ac:dyDescent="0.35">
      <c r="G93" s="45">
        <v>66</v>
      </c>
      <c r="H93" s="346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5">
        <v>66</v>
      </c>
      <c r="BR93" s="45">
        <v>66</v>
      </c>
      <c r="BS93" s="346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5">
        <v>66</v>
      </c>
    </row>
    <row r="94" spans="7:131" x14ac:dyDescent="0.35">
      <c r="G94" s="45">
        <v>65</v>
      </c>
      <c r="H94" s="346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5">
        <v>65</v>
      </c>
      <c r="BR94" s="45">
        <v>65</v>
      </c>
      <c r="BS94" s="346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5">
        <v>65</v>
      </c>
    </row>
    <row r="95" spans="7:131" x14ac:dyDescent="0.35">
      <c r="G95" s="45">
        <v>64</v>
      </c>
      <c r="H95" s="346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5">
        <v>64</v>
      </c>
      <c r="BR95" s="45">
        <v>64</v>
      </c>
      <c r="BS95" s="346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5">
        <v>64</v>
      </c>
    </row>
    <row r="96" spans="7:131" x14ac:dyDescent="0.35">
      <c r="G96" s="45">
        <v>63</v>
      </c>
      <c r="H96" s="346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5">
        <v>63</v>
      </c>
      <c r="BR96" s="45">
        <v>63</v>
      </c>
      <c r="BS96" s="346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5">
        <v>63</v>
      </c>
    </row>
    <row r="97" spans="7:131" x14ac:dyDescent="0.35">
      <c r="G97" s="45">
        <v>62</v>
      </c>
      <c r="H97" s="346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5">
        <v>62</v>
      </c>
      <c r="BR97" s="45">
        <v>62</v>
      </c>
      <c r="BS97" s="346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5">
        <v>62</v>
      </c>
    </row>
    <row r="98" spans="7:131" x14ac:dyDescent="0.35">
      <c r="G98" s="45">
        <v>61</v>
      </c>
      <c r="H98" s="346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5">
        <v>61</v>
      </c>
      <c r="BR98" s="45">
        <v>61</v>
      </c>
      <c r="BS98" s="346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5">
        <v>61</v>
      </c>
    </row>
    <row r="99" spans="7:131" x14ac:dyDescent="0.35">
      <c r="G99" s="45">
        <v>60</v>
      </c>
      <c r="H99" s="346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5">
        <v>60</v>
      </c>
      <c r="BR99" s="45">
        <v>60</v>
      </c>
      <c r="BS99" s="346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5">
        <v>60</v>
      </c>
    </row>
    <row r="100" spans="7:131" x14ac:dyDescent="0.35">
      <c r="G100" s="45">
        <v>59</v>
      </c>
      <c r="H100" s="346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5">
        <v>59</v>
      </c>
      <c r="BR100" s="45">
        <v>59</v>
      </c>
      <c r="BS100" s="346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5">
        <v>59</v>
      </c>
    </row>
    <row r="101" spans="7:131" x14ac:dyDescent="0.35">
      <c r="G101" s="45">
        <v>58</v>
      </c>
      <c r="H101" s="346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5">
        <v>58</v>
      </c>
      <c r="BR101" s="45">
        <v>58</v>
      </c>
      <c r="BS101" s="346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5">
        <v>58</v>
      </c>
    </row>
    <row r="102" spans="7:131" x14ac:dyDescent="0.35">
      <c r="G102" s="45">
        <v>57</v>
      </c>
      <c r="H102" s="346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5">
        <v>57</v>
      </c>
      <c r="BR102" s="45">
        <v>57</v>
      </c>
      <c r="BS102" s="346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5">
        <v>57</v>
      </c>
    </row>
    <row r="103" spans="7:131" x14ac:dyDescent="0.35">
      <c r="G103" s="45">
        <v>56</v>
      </c>
      <c r="H103" s="346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5">
        <v>56</v>
      </c>
      <c r="BR103" s="45">
        <v>56</v>
      </c>
      <c r="BS103" s="346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5">
        <v>56</v>
      </c>
    </row>
    <row r="104" spans="7:131" x14ac:dyDescent="0.35">
      <c r="G104" s="45">
        <v>55</v>
      </c>
      <c r="H104" s="346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5">
        <v>55</v>
      </c>
      <c r="BR104" s="45">
        <v>55</v>
      </c>
      <c r="BS104" s="346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5">
        <v>55</v>
      </c>
    </row>
    <row r="105" spans="7:131" x14ac:dyDescent="0.35">
      <c r="G105" s="45">
        <v>54</v>
      </c>
      <c r="H105" s="346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5">
        <v>54</v>
      </c>
      <c r="BR105" s="45">
        <v>54</v>
      </c>
      <c r="BS105" s="346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5">
        <v>54</v>
      </c>
    </row>
    <row r="106" spans="7:131" x14ac:dyDescent="0.35">
      <c r="G106" s="45">
        <v>53</v>
      </c>
      <c r="H106" s="346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5">
        <v>53</v>
      </c>
      <c r="BR106" s="45">
        <v>53</v>
      </c>
      <c r="BS106" s="346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5">
        <v>53</v>
      </c>
    </row>
    <row r="107" spans="7:131" x14ac:dyDescent="0.35">
      <c r="G107" s="45">
        <v>52</v>
      </c>
      <c r="H107" s="346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5">
        <v>52</v>
      </c>
      <c r="BR107" s="45">
        <v>52</v>
      </c>
      <c r="BS107" s="346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5">
        <v>52</v>
      </c>
    </row>
    <row r="108" spans="7:131" x14ac:dyDescent="0.35">
      <c r="G108" s="45">
        <v>51</v>
      </c>
      <c r="H108" s="346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5">
        <v>51</v>
      </c>
      <c r="BR108" s="45">
        <v>51</v>
      </c>
      <c r="BS108" s="346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5">
        <v>51</v>
      </c>
    </row>
    <row r="109" spans="7:131" x14ac:dyDescent="0.35">
      <c r="G109" s="45">
        <v>50</v>
      </c>
      <c r="H109" s="346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5">
        <v>50</v>
      </c>
      <c r="BR109" s="45">
        <v>50</v>
      </c>
      <c r="BS109" s="346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5">
        <v>50</v>
      </c>
    </row>
    <row r="110" spans="7:131" x14ac:dyDescent="0.35">
      <c r="G110" s="45">
        <v>49</v>
      </c>
      <c r="H110" s="346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5">
        <v>49</v>
      </c>
      <c r="BR110" s="45">
        <v>49</v>
      </c>
      <c r="BS110" s="346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5">
        <v>49</v>
      </c>
    </row>
    <row r="111" spans="7:131" x14ac:dyDescent="0.35">
      <c r="G111" s="45">
        <v>48</v>
      </c>
      <c r="H111" s="346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5">
        <v>48</v>
      </c>
      <c r="BR111" s="45">
        <v>48</v>
      </c>
      <c r="BS111" s="346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5">
        <v>48</v>
      </c>
    </row>
    <row r="112" spans="7:131" x14ac:dyDescent="0.35">
      <c r="G112" s="45">
        <v>47</v>
      </c>
      <c r="H112" s="346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5">
        <v>47</v>
      </c>
      <c r="BR112" s="45">
        <v>47</v>
      </c>
      <c r="BS112" s="346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5">
        <v>47</v>
      </c>
    </row>
    <row r="113" spans="7:131" x14ac:dyDescent="0.35">
      <c r="G113" s="45">
        <v>46</v>
      </c>
      <c r="H113" s="346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5">
        <v>46</v>
      </c>
      <c r="BR113" s="45">
        <v>46</v>
      </c>
      <c r="BS113" s="346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5">
        <v>46</v>
      </c>
    </row>
    <row r="114" spans="7:131" x14ac:dyDescent="0.35">
      <c r="G114" s="45">
        <v>45</v>
      </c>
      <c r="H114" s="346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5">
        <v>45</v>
      </c>
      <c r="BR114" s="45">
        <v>45</v>
      </c>
      <c r="BS114" s="346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5">
        <v>45</v>
      </c>
    </row>
    <row r="115" spans="7:131" x14ac:dyDescent="0.35">
      <c r="G115" s="45">
        <v>44</v>
      </c>
      <c r="H115" s="346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5">
        <v>44</v>
      </c>
      <c r="BR115" s="45">
        <v>44</v>
      </c>
      <c r="BS115" s="346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5">
        <v>44</v>
      </c>
    </row>
    <row r="116" spans="7:131" x14ac:dyDescent="0.35">
      <c r="G116" s="45">
        <v>43</v>
      </c>
      <c r="H116" s="346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5">
        <v>43</v>
      </c>
      <c r="BR116" s="45">
        <v>43</v>
      </c>
      <c r="BS116" s="346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5">
        <v>43</v>
      </c>
    </row>
    <row r="117" spans="7:131" x14ac:dyDescent="0.35">
      <c r="G117" s="45">
        <v>42</v>
      </c>
      <c r="H117" s="346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5">
        <v>42</v>
      </c>
      <c r="BR117" s="45">
        <v>42</v>
      </c>
      <c r="BS117" s="346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5">
        <v>42</v>
      </c>
    </row>
    <row r="118" spans="7:131" x14ac:dyDescent="0.35">
      <c r="G118" s="45">
        <v>41</v>
      </c>
      <c r="H118" s="346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5">
        <v>41</v>
      </c>
      <c r="BR118" s="45">
        <v>41</v>
      </c>
      <c r="BS118" s="346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5">
        <v>41</v>
      </c>
    </row>
    <row r="119" spans="7:131" x14ac:dyDescent="0.35">
      <c r="G119" s="45">
        <v>40</v>
      </c>
      <c r="H119" s="346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5">
        <v>40</v>
      </c>
      <c r="BR119" s="45">
        <v>40</v>
      </c>
      <c r="BS119" s="346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5">
        <v>40</v>
      </c>
    </row>
    <row r="120" spans="7:131" x14ac:dyDescent="0.35">
      <c r="G120" s="45">
        <v>39</v>
      </c>
      <c r="H120" s="346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5">
        <v>39</v>
      </c>
      <c r="BR120" s="45">
        <v>39</v>
      </c>
      <c r="BS120" s="346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5">
        <v>39</v>
      </c>
    </row>
    <row r="121" spans="7:131" x14ac:dyDescent="0.35">
      <c r="G121" s="45">
        <v>38</v>
      </c>
      <c r="H121" s="346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5">
        <v>38</v>
      </c>
      <c r="BR121" s="45">
        <v>38</v>
      </c>
      <c r="BS121" s="346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  <c r="DX121" s="44"/>
      <c r="DY121" s="44"/>
      <c r="DZ121" s="44"/>
      <c r="EA121" s="45">
        <v>38</v>
      </c>
    </row>
    <row r="122" spans="7:131" x14ac:dyDescent="0.35">
      <c r="G122" s="45">
        <v>37</v>
      </c>
      <c r="H122" s="346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5">
        <v>37</v>
      </c>
      <c r="BR122" s="45">
        <v>37</v>
      </c>
      <c r="BS122" s="346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/>
      <c r="DZ122" s="44"/>
      <c r="EA122" s="45">
        <v>37</v>
      </c>
    </row>
    <row r="123" spans="7:131" x14ac:dyDescent="0.35">
      <c r="G123" s="45">
        <v>36</v>
      </c>
      <c r="H123" s="346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5">
        <v>36</v>
      </c>
      <c r="BR123" s="45">
        <v>36</v>
      </c>
      <c r="BS123" s="346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  <c r="DT123" s="44"/>
      <c r="DU123" s="44"/>
      <c r="DV123" s="44"/>
      <c r="DW123" s="44"/>
      <c r="DX123" s="44"/>
      <c r="DY123" s="44"/>
      <c r="DZ123" s="44"/>
      <c r="EA123" s="45">
        <v>36</v>
      </c>
    </row>
    <row r="124" spans="7:131" x14ac:dyDescent="0.35">
      <c r="G124" s="45">
        <v>35</v>
      </c>
      <c r="H124" s="346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5">
        <v>35</v>
      </c>
      <c r="BR124" s="45">
        <v>35</v>
      </c>
      <c r="BS124" s="346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44"/>
      <c r="DU124" s="44"/>
      <c r="DV124" s="44"/>
      <c r="DW124" s="44"/>
      <c r="DX124" s="44"/>
      <c r="DY124" s="44"/>
      <c r="DZ124" s="44"/>
      <c r="EA124" s="45">
        <v>35</v>
      </c>
    </row>
    <row r="125" spans="7:131" x14ac:dyDescent="0.35">
      <c r="G125" s="45">
        <v>34</v>
      </c>
      <c r="H125" s="346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5">
        <v>34</v>
      </c>
      <c r="BR125" s="45">
        <v>34</v>
      </c>
      <c r="BS125" s="346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/>
      <c r="DU125" s="44"/>
      <c r="DV125" s="44"/>
      <c r="DW125" s="44"/>
      <c r="DX125" s="44"/>
      <c r="DY125" s="44"/>
      <c r="DZ125" s="44"/>
      <c r="EA125" s="45">
        <v>34</v>
      </c>
    </row>
    <row r="126" spans="7:131" x14ac:dyDescent="0.35">
      <c r="G126" s="45">
        <v>33</v>
      </c>
      <c r="H126" s="346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5">
        <v>33</v>
      </c>
      <c r="BR126" s="45">
        <v>33</v>
      </c>
      <c r="BS126" s="346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/>
      <c r="DO126" s="44"/>
      <c r="DP126" s="44"/>
      <c r="DQ126" s="44"/>
      <c r="DR126" s="44"/>
      <c r="DS126" s="44"/>
      <c r="DT126" s="44"/>
      <c r="DU126" s="44"/>
      <c r="DV126" s="44"/>
      <c r="DW126" s="44"/>
      <c r="DX126" s="44"/>
      <c r="DY126" s="44"/>
      <c r="DZ126" s="44"/>
      <c r="EA126" s="45">
        <v>33</v>
      </c>
    </row>
    <row r="127" spans="7:131" x14ac:dyDescent="0.35">
      <c r="G127" s="45">
        <v>32</v>
      </c>
      <c r="H127" s="346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5">
        <v>32</v>
      </c>
      <c r="BR127" s="45">
        <v>32</v>
      </c>
      <c r="BS127" s="346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  <c r="DO127" s="44"/>
      <c r="DP127" s="44"/>
      <c r="DQ127" s="44"/>
      <c r="DR127" s="44"/>
      <c r="DS127" s="44"/>
      <c r="DT127" s="44"/>
      <c r="DU127" s="44"/>
      <c r="DV127" s="44"/>
      <c r="DW127" s="44"/>
      <c r="DX127" s="44"/>
      <c r="DY127" s="44"/>
      <c r="DZ127" s="44"/>
      <c r="EA127" s="45">
        <v>32</v>
      </c>
    </row>
    <row r="128" spans="7:131" x14ac:dyDescent="0.35">
      <c r="G128" s="45">
        <v>31</v>
      </c>
      <c r="H128" s="346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5">
        <v>31</v>
      </c>
      <c r="BR128" s="45">
        <v>31</v>
      </c>
      <c r="BS128" s="346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  <c r="DR128" s="44"/>
      <c r="DS128" s="44"/>
      <c r="DT128" s="44"/>
      <c r="DU128" s="44"/>
      <c r="DV128" s="44"/>
      <c r="DW128" s="44"/>
      <c r="DX128" s="44"/>
      <c r="DY128" s="44"/>
      <c r="DZ128" s="44"/>
      <c r="EA128" s="45">
        <v>31</v>
      </c>
    </row>
    <row r="129" spans="7:131" x14ac:dyDescent="0.35">
      <c r="G129" s="45">
        <v>30</v>
      </c>
      <c r="H129" s="346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5">
        <v>30</v>
      </c>
      <c r="BR129" s="45">
        <v>30</v>
      </c>
      <c r="BS129" s="346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  <c r="DL129" s="44"/>
      <c r="DM129" s="44"/>
      <c r="DN129" s="44"/>
      <c r="DO129" s="44"/>
      <c r="DP129" s="44"/>
      <c r="DQ129" s="44"/>
      <c r="DR129" s="44"/>
      <c r="DS129" s="44"/>
      <c r="DT129" s="44"/>
      <c r="DU129" s="44"/>
      <c r="DV129" s="44"/>
      <c r="DW129" s="44"/>
      <c r="DX129" s="44"/>
      <c r="DY129" s="44"/>
      <c r="DZ129" s="44"/>
      <c r="EA129" s="45">
        <v>30</v>
      </c>
    </row>
    <row r="130" spans="7:131" x14ac:dyDescent="0.35">
      <c r="G130" s="45">
        <v>29</v>
      </c>
      <c r="H130" s="346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5">
        <v>29</v>
      </c>
      <c r="BR130" s="45">
        <v>29</v>
      </c>
      <c r="BS130" s="346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4"/>
      <c r="DM130" s="44"/>
      <c r="DN130" s="44"/>
      <c r="DO130" s="44"/>
      <c r="DP130" s="44"/>
      <c r="DQ130" s="44"/>
      <c r="DR130" s="44"/>
      <c r="DS130" s="44"/>
      <c r="DT130" s="44"/>
      <c r="DU130" s="44"/>
      <c r="DV130" s="44"/>
      <c r="DW130" s="44"/>
      <c r="DX130" s="44"/>
      <c r="DY130" s="44"/>
      <c r="DZ130" s="44"/>
      <c r="EA130" s="45">
        <v>29</v>
      </c>
    </row>
    <row r="131" spans="7:131" x14ac:dyDescent="0.35">
      <c r="G131" s="45">
        <v>28</v>
      </c>
      <c r="H131" s="346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5">
        <v>28</v>
      </c>
      <c r="BR131" s="45">
        <v>28</v>
      </c>
      <c r="BS131" s="346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  <c r="DT131" s="44"/>
      <c r="DU131" s="44"/>
      <c r="DV131" s="44"/>
      <c r="DW131" s="44"/>
      <c r="DX131" s="44"/>
      <c r="DY131" s="44"/>
      <c r="DZ131" s="44"/>
      <c r="EA131" s="45">
        <v>28</v>
      </c>
    </row>
    <row r="132" spans="7:131" x14ac:dyDescent="0.35">
      <c r="G132" s="45">
        <v>27</v>
      </c>
      <c r="H132" s="346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5">
        <v>27</v>
      </c>
      <c r="BR132" s="45">
        <v>27</v>
      </c>
      <c r="BS132" s="346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/>
      <c r="DH132" s="44"/>
      <c r="DI132" s="44"/>
      <c r="DJ132" s="44"/>
      <c r="DK132" s="44"/>
      <c r="DL132" s="44"/>
      <c r="DM132" s="44"/>
      <c r="DN132" s="44"/>
      <c r="DO132" s="44"/>
      <c r="DP132" s="44"/>
      <c r="DQ132" s="44"/>
      <c r="DR132" s="44"/>
      <c r="DS132" s="44"/>
      <c r="DT132" s="44"/>
      <c r="DU132" s="44"/>
      <c r="DV132" s="44"/>
      <c r="DW132" s="44"/>
      <c r="DX132" s="44"/>
      <c r="DY132" s="44"/>
      <c r="DZ132" s="44"/>
      <c r="EA132" s="45">
        <v>27</v>
      </c>
    </row>
    <row r="133" spans="7:131" x14ac:dyDescent="0.35">
      <c r="G133" s="45">
        <v>26</v>
      </c>
      <c r="H133" s="346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5">
        <v>26</v>
      </c>
      <c r="BR133" s="45">
        <v>26</v>
      </c>
      <c r="BS133" s="346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  <c r="DR133" s="44"/>
      <c r="DS133" s="44"/>
      <c r="DT133" s="44"/>
      <c r="DU133" s="44"/>
      <c r="DV133" s="44"/>
      <c r="DW133" s="44"/>
      <c r="DX133" s="44"/>
      <c r="DY133" s="44"/>
      <c r="DZ133" s="44"/>
      <c r="EA133" s="45">
        <v>26</v>
      </c>
    </row>
    <row r="134" spans="7:131" x14ac:dyDescent="0.35">
      <c r="G134" s="45">
        <v>25</v>
      </c>
      <c r="H134" s="346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5">
        <v>25</v>
      </c>
      <c r="BR134" s="45">
        <v>25</v>
      </c>
      <c r="BS134" s="346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  <c r="DO134" s="44"/>
      <c r="DP134" s="44"/>
      <c r="DQ134" s="44"/>
      <c r="DR134" s="44"/>
      <c r="DS134" s="44"/>
      <c r="DT134" s="44"/>
      <c r="DU134" s="44"/>
      <c r="DV134" s="44"/>
      <c r="DW134" s="44"/>
      <c r="DX134" s="44"/>
      <c r="DY134" s="44"/>
      <c r="DZ134" s="44"/>
      <c r="EA134" s="45">
        <v>25</v>
      </c>
    </row>
    <row r="135" spans="7:131" x14ac:dyDescent="0.35">
      <c r="G135" s="45">
        <v>24</v>
      </c>
      <c r="H135" s="346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5">
        <v>24</v>
      </c>
      <c r="BR135" s="45">
        <v>24</v>
      </c>
      <c r="BS135" s="346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44"/>
      <c r="DO135" s="44"/>
      <c r="DP135" s="44"/>
      <c r="DQ135" s="44"/>
      <c r="DR135" s="44"/>
      <c r="DS135" s="44"/>
      <c r="DT135" s="44"/>
      <c r="DU135" s="44"/>
      <c r="DV135" s="44"/>
      <c r="DW135" s="44"/>
      <c r="DX135" s="44"/>
      <c r="DY135" s="44"/>
      <c r="DZ135" s="44"/>
      <c r="EA135" s="45">
        <v>24</v>
      </c>
    </row>
    <row r="136" spans="7:131" x14ac:dyDescent="0.35">
      <c r="G136" s="45">
        <v>23</v>
      </c>
      <c r="H136" s="346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5">
        <v>23</v>
      </c>
      <c r="BR136" s="45">
        <v>23</v>
      </c>
      <c r="BS136" s="346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  <c r="DE136" s="44"/>
      <c r="DF136" s="44"/>
      <c r="DG136" s="44"/>
      <c r="DH136" s="44"/>
      <c r="DI136" s="44"/>
      <c r="DJ136" s="44"/>
      <c r="DK136" s="44"/>
      <c r="DL136" s="44"/>
      <c r="DM136" s="44"/>
      <c r="DN136" s="44"/>
      <c r="DO136" s="44"/>
      <c r="DP136" s="44"/>
      <c r="DQ136" s="44"/>
      <c r="DR136" s="44"/>
      <c r="DS136" s="44"/>
      <c r="DT136" s="44"/>
      <c r="DU136" s="44"/>
      <c r="DV136" s="44"/>
      <c r="DW136" s="44"/>
      <c r="DX136" s="44"/>
      <c r="DY136" s="44"/>
      <c r="DZ136" s="44"/>
      <c r="EA136" s="45">
        <v>23</v>
      </c>
    </row>
    <row r="137" spans="7:131" x14ac:dyDescent="0.35">
      <c r="G137" s="45">
        <v>22</v>
      </c>
      <c r="H137" s="346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5">
        <v>22</v>
      </c>
      <c r="BR137" s="45">
        <v>22</v>
      </c>
      <c r="BS137" s="346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  <c r="DR137" s="44"/>
      <c r="DS137" s="44"/>
      <c r="DT137" s="44"/>
      <c r="DU137" s="44"/>
      <c r="DV137" s="44"/>
      <c r="DW137" s="44"/>
      <c r="DX137" s="44"/>
      <c r="DY137" s="44"/>
      <c r="DZ137" s="44"/>
      <c r="EA137" s="45">
        <v>22</v>
      </c>
    </row>
    <row r="138" spans="7:131" x14ac:dyDescent="0.35">
      <c r="G138" s="45">
        <v>21</v>
      </c>
      <c r="H138" s="346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5">
        <v>21</v>
      </c>
      <c r="BR138" s="45">
        <v>21</v>
      </c>
      <c r="BS138" s="346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4"/>
      <c r="DG138" s="44"/>
      <c r="DH138" s="44"/>
      <c r="DI138" s="44"/>
      <c r="DJ138" s="44"/>
      <c r="DK138" s="44"/>
      <c r="DL138" s="44"/>
      <c r="DM138" s="44"/>
      <c r="DN138" s="44"/>
      <c r="DO138" s="44"/>
      <c r="DP138" s="44"/>
      <c r="DQ138" s="44"/>
      <c r="DR138" s="44"/>
      <c r="DS138" s="44"/>
      <c r="DT138" s="44"/>
      <c r="DU138" s="44"/>
      <c r="DV138" s="44"/>
      <c r="DW138" s="44"/>
      <c r="DX138" s="44"/>
      <c r="DY138" s="44"/>
      <c r="DZ138" s="44"/>
      <c r="EA138" s="45">
        <v>21</v>
      </c>
    </row>
    <row r="139" spans="7:131" x14ac:dyDescent="0.35">
      <c r="G139" s="45">
        <v>20</v>
      </c>
      <c r="H139" s="346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5">
        <v>20</v>
      </c>
      <c r="BR139" s="45">
        <v>20</v>
      </c>
      <c r="BS139" s="346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4"/>
      <c r="DF139" s="44"/>
      <c r="DG139" s="44"/>
      <c r="DH139" s="44"/>
      <c r="DI139" s="44"/>
      <c r="DJ139" s="44"/>
      <c r="DK139" s="44"/>
      <c r="DL139" s="44"/>
      <c r="DM139" s="44"/>
      <c r="DN139" s="44"/>
      <c r="DO139" s="44"/>
      <c r="DP139" s="44"/>
      <c r="DQ139" s="44"/>
      <c r="DR139" s="44"/>
      <c r="DS139" s="44"/>
      <c r="DT139" s="44"/>
      <c r="DU139" s="44"/>
      <c r="DV139" s="44"/>
      <c r="DW139" s="44"/>
      <c r="DX139" s="44"/>
      <c r="DY139" s="44"/>
      <c r="DZ139" s="44"/>
      <c r="EA139" s="45">
        <v>20</v>
      </c>
    </row>
    <row r="140" spans="7:131" x14ac:dyDescent="0.35">
      <c r="G140" s="45">
        <v>19</v>
      </c>
      <c r="H140" s="346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5">
        <v>19</v>
      </c>
      <c r="BR140" s="45">
        <v>19</v>
      </c>
      <c r="BS140" s="346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  <c r="DE140" s="44"/>
      <c r="DF140" s="44"/>
      <c r="DG140" s="44"/>
      <c r="DH140" s="44"/>
      <c r="DI140" s="44"/>
      <c r="DJ140" s="44"/>
      <c r="DK140" s="44"/>
      <c r="DL140" s="44"/>
      <c r="DM140" s="44"/>
      <c r="DN140" s="44"/>
      <c r="DO140" s="44"/>
      <c r="DP140" s="44"/>
      <c r="DQ140" s="44"/>
      <c r="DR140" s="44"/>
      <c r="DS140" s="44"/>
      <c r="DT140" s="44"/>
      <c r="DU140" s="44"/>
      <c r="DV140" s="44"/>
      <c r="DW140" s="44"/>
      <c r="DX140" s="44"/>
      <c r="DY140" s="44"/>
      <c r="DZ140" s="44"/>
      <c r="EA140" s="45">
        <v>19</v>
      </c>
    </row>
    <row r="141" spans="7:131" x14ac:dyDescent="0.35">
      <c r="G141" s="45">
        <v>18</v>
      </c>
      <c r="H141" s="346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5">
        <v>18</v>
      </c>
      <c r="BR141" s="45">
        <v>18</v>
      </c>
      <c r="BS141" s="346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  <c r="DS141" s="44"/>
      <c r="DT141" s="44"/>
      <c r="DU141" s="44"/>
      <c r="DV141" s="44"/>
      <c r="DW141" s="44"/>
      <c r="DX141" s="44"/>
      <c r="DY141" s="44"/>
      <c r="DZ141" s="44"/>
      <c r="EA141" s="45">
        <v>18</v>
      </c>
    </row>
    <row r="142" spans="7:131" x14ac:dyDescent="0.35">
      <c r="G142" s="45">
        <v>17</v>
      </c>
      <c r="H142" s="346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5">
        <v>17</v>
      </c>
      <c r="BR142" s="45">
        <v>17</v>
      </c>
      <c r="BS142" s="346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  <c r="DO142" s="44"/>
      <c r="DP142" s="44"/>
      <c r="DQ142" s="44"/>
      <c r="DR142" s="44"/>
      <c r="DS142" s="44"/>
      <c r="DT142" s="44"/>
      <c r="DU142" s="44"/>
      <c r="DV142" s="44"/>
      <c r="DW142" s="44"/>
      <c r="DX142" s="44"/>
      <c r="DY142" s="44"/>
      <c r="DZ142" s="44"/>
      <c r="EA142" s="45">
        <v>17</v>
      </c>
    </row>
    <row r="143" spans="7:131" x14ac:dyDescent="0.35">
      <c r="G143" s="45">
        <v>16</v>
      </c>
      <c r="H143" s="346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5">
        <v>16</v>
      </c>
      <c r="BR143" s="45">
        <v>16</v>
      </c>
      <c r="BS143" s="346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  <c r="DH143" s="44"/>
      <c r="DI143" s="44"/>
      <c r="DJ143" s="44"/>
      <c r="DK143" s="44"/>
      <c r="DL143" s="44"/>
      <c r="DM143" s="44"/>
      <c r="DN143" s="44"/>
      <c r="DO143" s="44"/>
      <c r="DP143" s="44"/>
      <c r="DQ143" s="44"/>
      <c r="DR143" s="44"/>
      <c r="DS143" s="44"/>
      <c r="DT143" s="44"/>
      <c r="DU143" s="44"/>
      <c r="DV143" s="44"/>
      <c r="DW143" s="44"/>
      <c r="DX143" s="44"/>
      <c r="DY143" s="44"/>
      <c r="DZ143" s="44"/>
      <c r="EA143" s="45">
        <v>16</v>
      </c>
    </row>
    <row r="144" spans="7:131" x14ac:dyDescent="0.35">
      <c r="G144" s="45">
        <v>15</v>
      </c>
      <c r="H144" s="346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5">
        <v>15</v>
      </c>
      <c r="BR144" s="45">
        <v>15</v>
      </c>
      <c r="BS144" s="346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4"/>
      <c r="DC144" s="44"/>
      <c r="DD144" s="44"/>
      <c r="DE144" s="44"/>
      <c r="DF144" s="44"/>
      <c r="DG144" s="44"/>
      <c r="DH144" s="44"/>
      <c r="DI144" s="44"/>
      <c r="DJ144" s="44"/>
      <c r="DK144" s="44"/>
      <c r="DL144" s="44"/>
      <c r="DM144" s="44"/>
      <c r="DN144" s="44"/>
      <c r="DO144" s="44"/>
      <c r="DP144" s="44"/>
      <c r="DQ144" s="44"/>
      <c r="DR144" s="44"/>
      <c r="DS144" s="44"/>
      <c r="DT144" s="44"/>
      <c r="DU144" s="44"/>
      <c r="DV144" s="44"/>
      <c r="DW144" s="44"/>
      <c r="DX144" s="44"/>
      <c r="DY144" s="44"/>
      <c r="DZ144" s="44"/>
      <c r="EA144" s="45">
        <v>15</v>
      </c>
    </row>
    <row r="145" spans="7:131" x14ac:dyDescent="0.35">
      <c r="G145" s="45">
        <v>14</v>
      </c>
      <c r="H145" s="346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5">
        <v>14</v>
      </c>
      <c r="BR145" s="45">
        <v>14</v>
      </c>
      <c r="BS145" s="346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  <c r="DD145" s="44"/>
      <c r="DE145" s="44"/>
      <c r="DF145" s="44"/>
      <c r="DG145" s="44"/>
      <c r="DH145" s="44"/>
      <c r="DI145" s="44"/>
      <c r="DJ145" s="44"/>
      <c r="DK145" s="44"/>
      <c r="DL145" s="44"/>
      <c r="DM145" s="44"/>
      <c r="DN145" s="44"/>
      <c r="DO145" s="44"/>
      <c r="DP145" s="44"/>
      <c r="DQ145" s="44"/>
      <c r="DR145" s="44"/>
      <c r="DS145" s="44"/>
      <c r="DT145" s="44"/>
      <c r="DU145" s="44"/>
      <c r="DV145" s="44"/>
      <c r="DW145" s="44"/>
      <c r="DX145" s="44"/>
      <c r="DY145" s="44"/>
      <c r="DZ145" s="44"/>
      <c r="EA145" s="45">
        <v>14</v>
      </c>
    </row>
    <row r="146" spans="7:131" x14ac:dyDescent="0.35">
      <c r="G146" s="45">
        <v>13</v>
      </c>
      <c r="H146" s="346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5">
        <v>13</v>
      </c>
      <c r="BR146" s="45">
        <v>13</v>
      </c>
      <c r="BS146" s="346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4"/>
      <c r="DC146" s="44"/>
      <c r="DD146" s="44"/>
      <c r="DE146" s="44"/>
      <c r="DF146" s="44"/>
      <c r="DG146" s="44"/>
      <c r="DH146" s="44"/>
      <c r="DI146" s="44"/>
      <c r="DJ146" s="44"/>
      <c r="DK146" s="44"/>
      <c r="DL146" s="44"/>
      <c r="DM146" s="44"/>
      <c r="DN146" s="44"/>
      <c r="DO146" s="44"/>
      <c r="DP146" s="44"/>
      <c r="DQ146" s="44"/>
      <c r="DR146" s="44"/>
      <c r="DS146" s="44"/>
      <c r="DT146" s="44"/>
      <c r="DU146" s="44"/>
      <c r="DV146" s="44"/>
      <c r="DW146" s="44"/>
      <c r="DX146" s="44"/>
      <c r="DY146" s="44"/>
      <c r="DZ146" s="44"/>
      <c r="EA146" s="45">
        <v>13</v>
      </c>
    </row>
    <row r="147" spans="7:131" x14ac:dyDescent="0.35">
      <c r="G147" s="45">
        <v>12</v>
      </c>
      <c r="H147" s="346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5">
        <v>12</v>
      </c>
      <c r="BR147" s="45">
        <v>12</v>
      </c>
      <c r="BS147" s="346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4"/>
      <c r="DH147" s="44"/>
      <c r="DI147" s="44"/>
      <c r="DJ147" s="44"/>
      <c r="DK147" s="44"/>
      <c r="DL147" s="44"/>
      <c r="DM147" s="44"/>
      <c r="DN147" s="44"/>
      <c r="DO147" s="44"/>
      <c r="DP147" s="44"/>
      <c r="DQ147" s="44"/>
      <c r="DR147" s="44"/>
      <c r="DS147" s="44"/>
      <c r="DT147" s="44"/>
      <c r="DU147" s="44"/>
      <c r="DV147" s="44"/>
      <c r="DW147" s="44"/>
      <c r="DX147" s="44"/>
      <c r="DY147" s="44"/>
      <c r="DZ147" s="44"/>
      <c r="EA147" s="45">
        <v>12</v>
      </c>
    </row>
    <row r="148" spans="7:131" x14ac:dyDescent="0.35">
      <c r="G148" s="45">
        <v>11</v>
      </c>
      <c r="H148" s="346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5">
        <v>11</v>
      </c>
      <c r="BR148" s="45">
        <v>11</v>
      </c>
      <c r="BS148" s="346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  <c r="DD148" s="44"/>
      <c r="DE148" s="44"/>
      <c r="DF148" s="44"/>
      <c r="DG148" s="44"/>
      <c r="DH148" s="44"/>
      <c r="DI148" s="44"/>
      <c r="DJ148" s="44"/>
      <c r="DK148" s="44"/>
      <c r="DL148" s="44"/>
      <c r="DM148" s="44"/>
      <c r="DN148" s="44"/>
      <c r="DO148" s="44"/>
      <c r="DP148" s="44"/>
      <c r="DQ148" s="44"/>
      <c r="DR148" s="44"/>
      <c r="DS148" s="44"/>
      <c r="DT148" s="44"/>
      <c r="DU148" s="44"/>
      <c r="DV148" s="44"/>
      <c r="DW148" s="44"/>
      <c r="DX148" s="44"/>
      <c r="DY148" s="44"/>
      <c r="DZ148" s="44"/>
      <c r="EA148" s="45">
        <v>11</v>
      </c>
    </row>
    <row r="149" spans="7:131" x14ac:dyDescent="0.35">
      <c r="G149" s="45">
        <v>10</v>
      </c>
      <c r="H149" s="346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5">
        <v>10</v>
      </c>
      <c r="BR149" s="45">
        <v>10</v>
      </c>
      <c r="BS149" s="346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44"/>
      <c r="DR149" s="44"/>
      <c r="DS149" s="44"/>
      <c r="DT149" s="44"/>
      <c r="DU149" s="44"/>
      <c r="DV149" s="44"/>
      <c r="DW149" s="44"/>
      <c r="DX149" s="44"/>
      <c r="DY149" s="44"/>
      <c r="DZ149" s="44"/>
      <c r="EA149" s="45">
        <v>10</v>
      </c>
    </row>
    <row r="150" spans="7:131" x14ac:dyDescent="0.35">
      <c r="G150" s="45">
        <v>9</v>
      </c>
      <c r="H150" s="346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5">
        <v>9</v>
      </c>
      <c r="BR150" s="45">
        <v>9</v>
      </c>
      <c r="BS150" s="346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  <c r="DT150" s="44"/>
      <c r="DU150" s="44"/>
      <c r="DV150" s="44"/>
      <c r="DW150" s="44"/>
      <c r="DX150" s="44"/>
      <c r="DY150" s="44"/>
      <c r="DZ150" s="44"/>
      <c r="EA150" s="45">
        <v>9</v>
      </c>
    </row>
    <row r="151" spans="7:131" x14ac:dyDescent="0.35">
      <c r="G151" s="45">
        <v>8</v>
      </c>
      <c r="H151" s="346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5">
        <v>8</v>
      </c>
      <c r="BR151" s="45">
        <v>8</v>
      </c>
      <c r="BS151" s="346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4"/>
      <c r="DP151" s="44"/>
      <c r="DQ151" s="44"/>
      <c r="DR151" s="44"/>
      <c r="DS151" s="44"/>
      <c r="DT151" s="44"/>
      <c r="DU151" s="44"/>
      <c r="DV151" s="44"/>
      <c r="DW151" s="44"/>
      <c r="DX151" s="44"/>
      <c r="DY151" s="44"/>
      <c r="DZ151" s="44"/>
      <c r="EA151" s="45">
        <v>8</v>
      </c>
    </row>
    <row r="152" spans="7:131" x14ac:dyDescent="0.35">
      <c r="G152" s="45">
        <v>7</v>
      </c>
      <c r="H152" s="346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5">
        <v>7</v>
      </c>
      <c r="BR152" s="45">
        <v>7</v>
      </c>
      <c r="BS152" s="346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4"/>
      <c r="DR152" s="44"/>
      <c r="DS152" s="44"/>
      <c r="DT152" s="44"/>
      <c r="DU152" s="44"/>
      <c r="DV152" s="44"/>
      <c r="DW152" s="44"/>
      <c r="DX152" s="44"/>
      <c r="DY152" s="44"/>
      <c r="DZ152" s="44"/>
      <c r="EA152" s="45">
        <v>7</v>
      </c>
    </row>
    <row r="153" spans="7:131" x14ac:dyDescent="0.35">
      <c r="G153" s="45">
        <v>6</v>
      </c>
      <c r="H153" s="346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5">
        <v>6</v>
      </c>
      <c r="BR153" s="45">
        <v>6</v>
      </c>
      <c r="BS153" s="346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4"/>
      <c r="DC153" s="44"/>
      <c r="DD153" s="44"/>
      <c r="DE153" s="44"/>
      <c r="DF153" s="44"/>
      <c r="DG153" s="44"/>
      <c r="DH153" s="44"/>
      <c r="DI153" s="44"/>
      <c r="DJ153" s="44"/>
      <c r="DK153" s="44"/>
      <c r="DL153" s="44"/>
      <c r="DM153" s="44"/>
      <c r="DN153" s="44"/>
      <c r="DO153" s="44"/>
      <c r="DP153" s="44"/>
      <c r="DQ153" s="44"/>
      <c r="DR153" s="44"/>
      <c r="DS153" s="44"/>
      <c r="DT153" s="44"/>
      <c r="DU153" s="44"/>
      <c r="DV153" s="44"/>
      <c r="DW153" s="44"/>
      <c r="DX153" s="44"/>
      <c r="DY153" s="44"/>
      <c r="DZ153" s="44"/>
      <c r="EA153" s="45">
        <v>6</v>
      </c>
    </row>
    <row r="154" spans="7:131" x14ac:dyDescent="0.35">
      <c r="G154" s="45">
        <v>5</v>
      </c>
      <c r="H154" s="346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5">
        <v>5</v>
      </c>
      <c r="BR154" s="45">
        <v>5</v>
      </c>
      <c r="BS154" s="346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/>
      <c r="DH154" s="44"/>
      <c r="DI154" s="44"/>
      <c r="DJ154" s="44"/>
      <c r="DK154" s="44"/>
      <c r="DL154" s="44"/>
      <c r="DM154" s="44"/>
      <c r="DN154" s="44"/>
      <c r="DO154" s="44"/>
      <c r="DP154" s="44"/>
      <c r="DQ154" s="44"/>
      <c r="DR154" s="44"/>
      <c r="DS154" s="44"/>
      <c r="DT154" s="44"/>
      <c r="DU154" s="44"/>
      <c r="DV154" s="44"/>
      <c r="DW154" s="44"/>
      <c r="DX154" s="44"/>
      <c r="DY154" s="44"/>
      <c r="DZ154" s="44"/>
      <c r="EA154" s="45">
        <v>5</v>
      </c>
    </row>
    <row r="155" spans="7:131" x14ac:dyDescent="0.35">
      <c r="G155" s="45">
        <v>4</v>
      </c>
      <c r="H155" s="346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5">
        <v>4</v>
      </c>
      <c r="BR155" s="45">
        <v>4</v>
      </c>
      <c r="BS155" s="346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4"/>
      <c r="DC155" s="44"/>
      <c r="DD155" s="44"/>
      <c r="DE155" s="44"/>
      <c r="DF155" s="44"/>
      <c r="DG155" s="44"/>
      <c r="DH155" s="44"/>
      <c r="DI155" s="44"/>
      <c r="DJ155" s="44"/>
      <c r="DK155" s="44"/>
      <c r="DL155" s="44"/>
      <c r="DM155" s="44"/>
      <c r="DN155" s="44"/>
      <c r="DO155" s="44"/>
      <c r="DP155" s="44"/>
      <c r="DQ155" s="44"/>
      <c r="DR155" s="44"/>
      <c r="DS155" s="44"/>
      <c r="DT155" s="44"/>
      <c r="DU155" s="44"/>
      <c r="DV155" s="44"/>
      <c r="DW155" s="44"/>
      <c r="DX155" s="44"/>
      <c r="DY155" s="44"/>
      <c r="DZ155" s="44"/>
      <c r="EA155" s="45">
        <v>4</v>
      </c>
    </row>
    <row r="156" spans="7:131" x14ac:dyDescent="0.35">
      <c r="G156" s="45">
        <v>3</v>
      </c>
      <c r="H156" s="346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5">
        <v>3</v>
      </c>
      <c r="BR156" s="45">
        <v>3</v>
      </c>
      <c r="BS156" s="346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  <c r="DD156" s="44"/>
      <c r="DE156" s="44"/>
      <c r="DF156" s="44"/>
      <c r="DG156" s="44"/>
      <c r="DH156" s="44"/>
      <c r="DI156" s="44"/>
      <c r="DJ156" s="44"/>
      <c r="DK156" s="44"/>
      <c r="DL156" s="44"/>
      <c r="DM156" s="44"/>
      <c r="DN156" s="44"/>
      <c r="DO156" s="44"/>
      <c r="DP156" s="44"/>
      <c r="DQ156" s="44"/>
      <c r="DR156" s="44"/>
      <c r="DS156" s="44"/>
      <c r="DT156" s="44"/>
      <c r="DU156" s="44"/>
      <c r="DV156" s="44"/>
      <c r="DW156" s="44"/>
      <c r="DX156" s="44"/>
      <c r="DY156" s="44"/>
      <c r="DZ156" s="44"/>
      <c r="EA156" s="45">
        <v>3</v>
      </c>
    </row>
    <row r="157" spans="7:131" x14ac:dyDescent="0.35">
      <c r="G157" s="45">
        <v>2</v>
      </c>
      <c r="H157" s="346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5">
        <v>2</v>
      </c>
      <c r="BR157" s="45">
        <v>2</v>
      </c>
      <c r="BS157" s="346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4"/>
      <c r="DH157" s="44"/>
      <c r="DI157" s="44"/>
      <c r="DJ157" s="44"/>
      <c r="DK157" s="44"/>
      <c r="DL157" s="44"/>
      <c r="DM157" s="44"/>
      <c r="DN157" s="44"/>
      <c r="DO157" s="44"/>
      <c r="DP157" s="44"/>
      <c r="DQ157" s="44"/>
      <c r="DR157" s="44"/>
      <c r="DS157" s="44"/>
      <c r="DT157" s="44"/>
      <c r="DU157" s="44"/>
      <c r="DV157" s="44"/>
      <c r="DW157" s="44"/>
      <c r="DX157" s="44"/>
      <c r="DY157" s="44"/>
      <c r="DZ157" s="44"/>
      <c r="EA157" s="45">
        <v>2</v>
      </c>
    </row>
    <row r="158" spans="7:131" x14ac:dyDescent="0.35">
      <c r="G158" s="45">
        <v>1</v>
      </c>
      <c r="H158" s="346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5">
        <v>1</v>
      </c>
      <c r="BR158" s="45">
        <v>1</v>
      </c>
      <c r="BS158" s="346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  <c r="DD158" s="44"/>
      <c r="DE158" s="44"/>
      <c r="DF158" s="44"/>
      <c r="DG158" s="44"/>
      <c r="DH158" s="44"/>
      <c r="DI158" s="44"/>
      <c r="DJ158" s="44"/>
      <c r="DK158" s="44"/>
      <c r="DL158" s="44"/>
      <c r="DM158" s="44"/>
      <c r="DN158" s="44"/>
      <c r="DO158" s="44"/>
      <c r="DP158" s="44"/>
      <c r="DQ158" s="44"/>
      <c r="DR158" s="44"/>
      <c r="DS158" s="44"/>
      <c r="DT158" s="44"/>
      <c r="DU158" s="44"/>
      <c r="DV158" s="44"/>
      <c r="DW158" s="44"/>
      <c r="DX158" s="44"/>
      <c r="DY158" s="44"/>
      <c r="DZ158" s="44"/>
      <c r="EA158" s="45">
        <v>1</v>
      </c>
    </row>
    <row r="159" spans="7:131" x14ac:dyDescent="0.35">
      <c r="H159" s="438">
        <v>1</v>
      </c>
      <c r="I159" s="438">
        <v>2</v>
      </c>
      <c r="J159" s="438">
        <v>3</v>
      </c>
      <c r="K159" s="438">
        <v>4</v>
      </c>
      <c r="L159" s="438">
        <v>5</v>
      </c>
      <c r="M159" s="438">
        <v>6</v>
      </c>
      <c r="N159" s="438">
        <v>7</v>
      </c>
      <c r="O159" s="438">
        <v>8</v>
      </c>
      <c r="P159" s="438">
        <v>9</v>
      </c>
      <c r="Q159" s="438">
        <v>10</v>
      </c>
      <c r="R159" s="438">
        <v>11</v>
      </c>
      <c r="S159" s="438">
        <v>12</v>
      </c>
      <c r="T159" s="438">
        <v>13</v>
      </c>
      <c r="U159" s="438">
        <v>14</v>
      </c>
      <c r="V159" s="438">
        <v>15</v>
      </c>
      <c r="W159" s="438">
        <v>16</v>
      </c>
      <c r="X159" s="438">
        <v>17</v>
      </c>
      <c r="Y159" s="438">
        <v>18</v>
      </c>
      <c r="Z159" s="438">
        <v>19</v>
      </c>
      <c r="AA159" s="438">
        <v>20</v>
      </c>
      <c r="AB159" s="438">
        <v>21</v>
      </c>
      <c r="AC159" s="438">
        <v>22</v>
      </c>
      <c r="AD159" s="438">
        <v>23</v>
      </c>
      <c r="AE159" s="438">
        <v>24</v>
      </c>
      <c r="AF159" s="438">
        <v>25</v>
      </c>
      <c r="AG159" s="438">
        <v>26</v>
      </c>
      <c r="AH159" s="438">
        <v>27</v>
      </c>
      <c r="AI159" s="438">
        <v>28</v>
      </c>
      <c r="AJ159" s="438">
        <v>29</v>
      </c>
      <c r="AK159" s="438">
        <v>30</v>
      </c>
      <c r="AL159" s="438">
        <v>31</v>
      </c>
      <c r="AM159" s="438">
        <v>32</v>
      </c>
      <c r="AN159" s="438">
        <v>33</v>
      </c>
      <c r="AO159" s="438">
        <v>34</v>
      </c>
      <c r="AP159" s="438">
        <v>35</v>
      </c>
      <c r="AQ159" s="438">
        <v>36</v>
      </c>
      <c r="AR159" s="438">
        <v>37</v>
      </c>
      <c r="AS159" s="438">
        <v>38</v>
      </c>
      <c r="AT159" s="438">
        <v>39</v>
      </c>
      <c r="AU159" s="438">
        <v>40</v>
      </c>
      <c r="AV159" s="438">
        <v>41</v>
      </c>
      <c r="AW159" s="438">
        <v>42</v>
      </c>
      <c r="AX159" s="438">
        <v>43</v>
      </c>
      <c r="AY159" s="438">
        <v>44</v>
      </c>
      <c r="AZ159" s="438">
        <v>45</v>
      </c>
      <c r="BA159" s="438">
        <v>46</v>
      </c>
      <c r="BB159" s="438">
        <v>47</v>
      </c>
      <c r="BC159" s="438">
        <v>48</v>
      </c>
      <c r="BD159" s="438">
        <v>49</v>
      </c>
      <c r="BE159" s="438">
        <v>50</v>
      </c>
      <c r="BF159" s="438">
        <v>51</v>
      </c>
      <c r="BG159" s="438">
        <v>52</v>
      </c>
      <c r="BH159" s="438">
        <v>53</v>
      </c>
      <c r="BI159" s="438">
        <v>54</v>
      </c>
      <c r="BJ159" s="438">
        <v>55</v>
      </c>
      <c r="BK159" s="438">
        <v>56</v>
      </c>
      <c r="BL159" s="438">
        <v>57</v>
      </c>
      <c r="BM159" s="438">
        <v>58</v>
      </c>
      <c r="BN159" s="438">
        <v>59</v>
      </c>
      <c r="BO159" s="438">
        <v>60</v>
      </c>
      <c r="BP159" s="345"/>
      <c r="BQ159" s="345"/>
      <c r="BS159" s="438">
        <v>1</v>
      </c>
      <c r="BT159" s="438">
        <v>2</v>
      </c>
      <c r="BU159" s="438">
        <v>3</v>
      </c>
      <c r="BV159" s="438">
        <v>4</v>
      </c>
      <c r="BW159" s="438">
        <v>5</v>
      </c>
      <c r="BX159" s="438">
        <v>6</v>
      </c>
      <c r="BY159" s="438">
        <v>7</v>
      </c>
      <c r="BZ159" s="438">
        <v>8</v>
      </c>
      <c r="CA159" s="438">
        <v>9</v>
      </c>
      <c r="CB159" s="438">
        <v>10</v>
      </c>
      <c r="CC159" s="438">
        <v>11</v>
      </c>
      <c r="CD159" s="438">
        <v>12</v>
      </c>
      <c r="CE159" s="438">
        <v>13</v>
      </c>
      <c r="CF159" s="438">
        <v>14</v>
      </c>
      <c r="CG159" s="438">
        <v>15</v>
      </c>
      <c r="CH159" s="438">
        <v>16</v>
      </c>
      <c r="CI159" s="438">
        <v>17</v>
      </c>
      <c r="CJ159" s="438">
        <v>18</v>
      </c>
      <c r="CK159" s="438">
        <v>19</v>
      </c>
      <c r="CL159" s="438">
        <v>20</v>
      </c>
      <c r="CM159" s="438">
        <v>21</v>
      </c>
      <c r="CN159" s="438">
        <v>22</v>
      </c>
      <c r="CO159" s="438">
        <v>23</v>
      </c>
      <c r="CP159" s="438">
        <v>24</v>
      </c>
      <c r="CQ159" s="438">
        <v>25</v>
      </c>
      <c r="CR159" s="438">
        <v>26</v>
      </c>
      <c r="CS159" s="438">
        <v>27</v>
      </c>
      <c r="CT159" s="438">
        <v>28</v>
      </c>
      <c r="CU159" s="438">
        <v>29</v>
      </c>
      <c r="CV159" s="438">
        <v>30</v>
      </c>
      <c r="CW159" s="438">
        <v>31</v>
      </c>
      <c r="CX159" s="438">
        <v>32</v>
      </c>
      <c r="CY159" s="438">
        <v>33</v>
      </c>
      <c r="CZ159" s="438">
        <v>34</v>
      </c>
      <c r="DA159" s="438">
        <v>35</v>
      </c>
      <c r="DB159" s="438">
        <v>36</v>
      </c>
      <c r="DC159" s="438">
        <v>37</v>
      </c>
      <c r="DD159" s="438">
        <v>38</v>
      </c>
      <c r="DE159" s="438">
        <v>39</v>
      </c>
      <c r="DF159" s="438">
        <v>40</v>
      </c>
      <c r="DG159" s="438">
        <v>41</v>
      </c>
      <c r="DH159" s="438">
        <v>42</v>
      </c>
      <c r="DI159" s="438">
        <v>43</v>
      </c>
      <c r="DJ159" s="438">
        <v>44</v>
      </c>
      <c r="DK159" s="438">
        <v>45</v>
      </c>
      <c r="DL159" s="438">
        <v>46</v>
      </c>
      <c r="DM159" s="438">
        <v>47</v>
      </c>
      <c r="DN159" s="438">
        <v>48</v>
      </c>
      <c r="DO159" s="438">
        <v>49</v>
      </c>
      <c r="DP159" s="438">
        <v>50</v>
      </c>
      <c r="DQ159" s="438">
        <v>51</v>
      </c>
      <c r="DR159" s="438">
        <v>52</v>
      </c>
      <c r="DS159" s="438">
        <v>53</v>
      </c>
      <c r="DT159" s="438">
        <v>54</v>
      </c>
      <c r="DU159" s="438">
        <v>55</v>
      </c>
      <c r="DV159" s="438">
        <v>56</v>
      </c>
      <c r="DW159" s="438">
        <v>57</v>
      </c>
      <c r="DX159" s="438">
        <v>58</v>
      </c>
      <c r="DY159" s="438">
        <v>59</v>
      </c>
      <c r="DZ159" s="438">
        <v>60</v>
      </c>
      <c r="EA159" s="345"/>
    </row>
    <row r="160" spans="7:131" x14ac:dyDescent="0.35">
      <c r="H160" s="42" t="s">
        <v>145</v>
      </c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S160" s="42" t="s">
        <v>145</v>
      </c>
    </row>
    <row r="161" spans="8:71" x14ac:dyDescent="0.35">
      <c r="H161" s="42" t="s">
        <v>204</v>
      </c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1"/>
      <c r="BQ161" s="41"/>
      <c r="BR161" s="41"/>
      <c r="BS161" s="42" t="s">
        <v>205</v>
      </c>
    </row>
  </sheetData>
  <mergeCells count="7">
    <mergeCell ref="F20:F26"/>
    <mergeCell ref="EB20:EB26"/>
    <mergeCell ref="B4:EB4"/>
    <mergeCell ref="E9:E10"/>
    <mergeCell ref="D10:D11"/>
    <mergeCell ref="B15:C15"/>
    <mergeCell ref="G15:W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72142-E211-4905-BD60-6009A8DF655C}">
  <dimension ref="A1:EI65"/>
  <sheetViews>
    <sheetView topLeftCell="A3" zoomScale="70" zoomScaleNormal="70" workbookViewId="0">
      <selection activeCell="B4" sqref="B4:EB4"/>
    </sheetView>
  </sheetViews>
  <sheetFormatPr baseColWidth="10" defaultRowHeight="14.5" x14ac:dyDescent="0.35"/>
  <cols>
    <col min="1" max="1" width="0.6328125" customWidth="1"/>
    <col min="2" max="2" width="15.36328125" customWidth="1"/>
    <col min="4" max="5" width="10.54296875" customWidth="1"/>
    <col min="6" max="6" width="5.81640625" customWidth="1"/>
    <col min="7" max="7" width="5.1796875" customWidth="1"/>
    <col min="8" max="67" width="1.6328125" customWidth="1"/>
    <col min="68" max="68" width="4.36328125" customWidth="1"/>
    <col min="69" max="69" width="4.81640625" customWidth="1"/>
    <col min="70" max="70" width="5.453125" customWidth="1"/>
    <col min="71" max="130" width="1.6328125" customWidth="1"/>
    <col min="131" max="131" width="5.1796875" style="20" customWidth="1"/>
    <col min="132" max="132" width="3.7265625" style="20" customWidth="1"/>
    <col min="133" max="133" width="1.1796875" style="20" customWidth="1"/>
    <col min="134" max="139" width="3.7265625" style="20" customWidth="1"/>
    <col min="147" max="147" width="2.54296875" customWidth="1"/>
  </cols>
  <sheetData>
    <row r="1" spans="1:137" hidden="1" x14ac:dyDescent="0.35">
      <c r="B1" s="19" t="str">
        <f>C8</f>
        <v>meses</v>
      </c>
      <c r="C1" s="19" t="s">
        <v>4</v>
      </c>
      <c r="D1" s="19" t="s">
        <v>5</v>
      </c>
      <c r="E1" s="19" t="s">
        <v>6</v>
      </c>
      <c r="F1" s="19"/>
      <c r="G1" s="19"/>
      <c r="EA1"/>
      <c r="EB1"/>
      <c r="EC1"/>
      <c r="ED1"/>
      <c r="EE1"/>
    </row>
    <row r="2" spans="1:137" hidden="1" x14ac:dyDescent="0.35">
      <c r="B2" s="19" t="s">
        <v>7</v>
      </c>
      <c r="C2" s="19" t="s">
        <v>8</v>
      </c>
      <c r="D2" s="19" t="s">
        <v>9</v>
      </c>
      <c r="E2" s="19" t="s">
        <v>10</v>
      </c>
      <c r="F2" s="19" t="str">
        <f>CONCATENATE(C2," ",C6," ",D2," ",C12," ",C8)</f>
        <v>puede representarse llegando los 43 pacientes, a los 60 meses</v>
      </c>
      <c r="G2" s="19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EA2"/>
      <c r="EB2"/>
      <c r="EC2"/>
      <c r="ED2"/>
      <c r="EE2"/>
    </row>
    <row r="3" spans="1:137" ht="5" customHeight="1" thickBot="1" x14ac:dyDescent="0.4">
      <c r="A3" s="450"/>
      <c r="B3" s="450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451"/>
      <c r="AG3" s="451"/>
      <c r="AH3" s="451"/>
      <c r="AI3" s="451"/>
      <c r="AJ3" s="451"/>
      <c r="AK3" s="451"/>
      <c r="AL3" s="451"/>
      <c r="AM3" s="451"/>
      <c r="AN3" s="451"/>
      <c r="AO3" s="451"/>
      <c r="AP3" s="451"/>
      <c r="AQ3" s="451"/>
      <c r="AR3" s="451"/>
      <c r="AS3" s="451"/>
      <c r="AT3" s="451"/>
      <c r="AU3" s="451"/>
      <c r="AV3" s="451"/>
      <c r="AW3" s="451"/>
      <c r="AX3" s="451"/>
      <c r="AY3" s="451"/>
      <c r="AZ3" s="451"/>
      <c r="BA3" s="451"/>
      <c r="BB3" s="451"/>
      <c r="BC3" s="451"/>
      <c r="BD3" s="451"/>
      <c r="BE3" s="451"/>
      <c r="BF3" s="451"/>
      <c r="BG3" s="451"/>
      <c r="BH3" s="451"/>
      <c r="BI3" s="451"/>
      <c r="BJ3" s="451"/>
      <c r="BK3" s="451"/>
      <c r="BL3" s="451"/>
      <c r="BM3" s="451"/>
      <c r="BN3" s="451"/>
      <c r="BO3" s="451"/>
      <c r="BP3" s="451"/>
      <c r="BQ3" s="451"/>
      <c r="BR3" s="451"/>
      <c r="BS3" s="451"/>
      <c r="BT3" s="451"/>
      <c r="BU3" s="451"/>
      <c r="BV3" s="451"/>
      <c r="BW3" s="451"/>
      <c r="BX3" s="451"/>
      <c r="BY3" s="451"/>
      <c r="BZ3" s="451"/>
      <c r="CA3" s="451"/>
      <c r="CB3" s="451"/>
      <c r="CC3" s="451"/>
      <c r="CD3" s="451"/>
      <c r="CE3" s="451"/>
      <c r="CF3" s="451"/>
      <c r="CG3" s="451"/>
      <c r="CH3" s="451"/>
      <c r="CI3" s="451"/>
      <c r="CJ3" s="451"/>
      <c r="CK3" s="451"/>
      <c r="CL3" s="451"/>
      <c r="CM3" s="451"/>
      <c r="CN3" s="451"/>
      <c r="CO3" s="451"/>
      <c r="CP3" s="451"/>
      <c r="CQ3" s="451"/>
      <c r="CR3" s="451"/>
      <c r="CS3" s="451"/>
      <c r="CT3" s="451"/>
      <c r="CU3" s="451"/>
      <c r="CV3" s="451"/>
      <c r="CW3" s="451"/>
      <c r="CX3" s="451"/>
      <c r="CY3" s="451"/>
      <c r="CZ3" s="451"/>
      <c r="DA3" s="451"/>
      <c r="DB3" s="451"/>
      <c r="DC3" s="451"/>
      <c r="DD3" s="451"/>
      <c r="DE3" s="451"/>
      <c r="DF3" s="451"/>
      <c r="DG3" s="451"/>
      <c r="DH3" s="451"/>
      <c r="DI3" s="451"/>
      <c r="DJ3" s="451"/>
      <c r="DK3" s="451"/>
      <c r="DL3" s="451"/>
      <c r="DM3" s="451"/>
      <c r="DN3" s="451"/>
      <c r="DO3" s="451"/>
      <c r="DP3" s="451"/>
      <c r="DQ3" s="451"/>
      <c r="DR3" s="451"/>
      <c r="DS3" s="451"/>
      <c r="DT3" s="451"/>
      <c r="DU3" s="451"/>
      <c r="DV3" s="451"/>
      <c r="DW3" s="451"/>
      <c r="DX3" s="451"/>
      <c r="DY3" s="451"/>
      <c r="DZ3" s="451"/>
      <c r="EA3" s="451"/>
      <c r="EB3" s="451"/>
      <c r="EC3" s="450"/>
      <c r="ED3"/>
      <c r="EE3"/>
    </row>
    <row r="4" spans="1:137" ht="51.5" customHeight="1" thickBot="1" x14ac:dyDescent="0.4">
      <c r="A4" s="450"/>
      <c r="B4" s="572" t="s">
        <v>259</v>
      </c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573"/>
      <c r="U4" s="573"/>
      <c r="V4" s="573"/>
      <c r="W4" s="573"/>
      <c r="X4" s="573"/>
      <c r="Y4" s="573"/>
      <c r="Z4" s="573"/>
      <c r="AA4" s="573"/>
      <c r="AB4" s="573"/>
      <c r="AC4" s="573"/>
      <c r="AD4" s="573"/>
      <c r="AE4" s="573"/>
      <c r="AF4" s="573"/>
      <c r="AG4" s="573"/>
      <c r="AH4" s="573"/>
      <c r="AI4" s="573"/>
      <c r="AJ4" s="573"/>
      <c r="AK4" s="573"/>
      <c r="AL4" s="573"/>
      <c r="AM4" s="573"/>
      <c r="AN4" s="573"/>
      <c r="AO4" s="573"/>
      <c r="AP4" s="573"/>
      <c r="AQ4" s="573"/>
      <c r="AR4" s="573"/>
      <c r="AS4" s="573"/>
      <c r="AT4" s="573"/>
      <c r="AU4" s="573"/>
      <c r="AV4" s="573"/>
      <c r="AW4" s="573"/>
      <c r="AX4" s="573"/>
      <c r="AY4" s="573"/>
      <c r="AZ4" s="573"/>
      <c r="BA4" s="573"/>
      <c r="BB4" s="573"/>
      <c r="BC4" s="573"/>
      <c r="BD4" s="573"/>
      <c r="BE4" s="573"/>
      <c r="BF4" s="573"/>
      <c r="BG4" s="573"/>
      <c r="BH4" s="573"/>
      <c r="BI4" s="573"/>
      <c r="BJ4" s="573"/>
      <c r="BK4" s="573"/>
      <c r="BL4" s="573"/>
      <c r="BM4" s="573"/>
      <c r="BN4" s="573"/>
      <c r="BO4" s="573"/>
      <c r="BP4" s="573"/>
      <c r="BQ4" s="573"/>
      <c r="BR4" s="573"/>
      <c r="BS4" s="573"/>
      <c r="BT4" s="573"/>
      <c r="BU4" s="573"/>
      <c r="BV4" s="573"/>
      <c r="BW4" s="573"/>
      <c r="BX4" s="573"/>
      <c r="BY4" s="573"/>
      <c r="BZ4" s="573"/>
      <c r="CA4" s="573"/>
      <c r="CB4" s="573"/>
      <c r="CC4" s="573"/>
      <c r="CD4" s="573"/>
      <c r="CE4" s="573"/>
      <c r="CF4" s="573"/>
      <c r="CG4" s="573"/>
      <c r="CH4" s="573"/>
      <c r="CI4" s="573"/>
      <c r="CJ4" s="573"/>
      <c r="CK4" s="573"/>
      <c r="CL4" s="573"/>
      <c r="CM4" s="573"/>
      <c r="CN4" s="573"/>
      <c r="CO4" s="573"/>
      <c r="CP4" s="573"/>
      <c r="CQ4" s="573"/>
      <c r="CR4" s="573"/>
      <c r="CS4" s="573"/>
      <c r="CT4" s="573"/>
      <c r="CU4" s="573"/>
      <c r="CV4" s="573"/>
      <c r="CW4" s="573"/>
      <c r="CX4" s="573"/>
      <c r="CY4" s="573"/>
      <c r="CZ4" s="573"/>
      <c r="DA4" s="573"/>
      <c r="DB4" s="573"/>
      <c r="DC4" s="573"/>
      <c r="DD4" s="573"/>
      <c r="DE4" s="573"/>
      <c r="DF4" s="573"/>
      <c r="DG4" s="573"/>
      <c r="DH4" s="573"/>
      <c r="DI4" s="573"/>
      <c r="DJ4" s="573"/>
      <c r="DK4" s="573"/>
      <c r="DL4" s="573"/>
      <c r="DM4" s="573"/>
      <c r="DN4" s="573"/>
      <c r="DO4" s="573"/>
      <c r="DP4" s="573"/>
      <c r="DQ4" s="573"/>
      <c r="DR4" s="573"/>
      <c r="DS4" s="573"/>
      <c r="DT4" s="573"/>
      <c r="DU4" s="573"/>
      <c r="DV4" s="573"/>
      <c r="DW4" s="573"/>
      <c r="DX4" s="573"/>
      <c r="DY4" s="573"/>
      <c r="DZ4" s="573"/>
      <c r="EA4" s="573"/>
      <c r="EB4" s="574"/>
      <c r="EC4" s="450"/>
      <c r="ED4"/>
      <c r="EE4"/>
    </row>
    <row r="5" spans="1:137" ht="6.5" customHeight="1" x14ac:dyDescent="0.35">
      <c r="A5" s="450"/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452"/>
      <c r="AJ5" s="452"/>
      <c r="AK5" s="452"/>
      <c r="AL5" s="452"/>
      <c r="AM5" s="452"/>
      <c r="AN5" s="452"/>
      <c r="AO5" s="452"/>
      <c r="AP5" s="452"/>
      <c r="AQ5" s="452"/>
      <c r="AR5" s="452"/>
      <c r="AS5" s="452"/>
      <c r="AT5" s="452"/>
      <c r="AU5" s="452"/>
      <c r="AV5" s="452"/>
      <c r="AW5" s="452"/>
      <c r="AX5" s="452"/>
      <c r="AY5" s="452"/>
      <c r="AZ5" s="452"/>
      <c r="BA5" s="452"/>
      <c r="BB5" s="452"/>
      <c r="BC5" s="452"/>
      <c r="BD5" s="452"/>
      <c r="BE5" s="452"/>
      <c r="BF5" s="452"/>
      <c r="BG5" s="452"/>
      <c r="BH5" s="452"/>
      <c r="BI5" s="452"/>
      <c r="BJ5" s="452"/>
      <c r="BK5" s="452"/>
      <c r="BL5" s="452"/>
      <c r="BM5" s="452"/>
      <c r="BN5" s="452"/>
      <c r="BO5" s="452"/>
      <c r="BP5" s="452"/>
      <c r="BQ5" s="452"/>
      <c r="BR5" s="452"/>
      <c r="BS5" s="452"/>
      <c r="BT5" s="452"/>
      <c r="BU5" s="452"/>
      <c r="BV5" s="452"/>
      <c r="BW5" s="452"/>
      <c r="BX5" s="452"/>
      <c r="BY5" s="452"/>
      <c r="BZ5" s="452"/>
      <c r="CA5" s="452"/>
      <c r="CB5" s="452"/>
      <c r="CC5" s="452"/>
      <c r="CD5" s="452"/>
      <c r="CE5" s="452"/>
      <c r="CF5" s="452"/>
      <c r="CG5" s="452"/>
      <c r="CH5" s="452"/>
      <c r="CI5" s="452"/>
      <c r="CJ5" s="452"/>
      <c r="CK5" s="452"/>
      <c r="CL5" s="452"/>
      <c r="CM5" s="452"/>
      <c r="CN5" s="452"/>
      <c r="CO5" s="452"/>
      <c r="CP5" s="452"/>
      <c r="CQ5" s="452"/>
      <c r="CR5" s="452"/>
      <c r="CS5" s="452"/>
      <c r="CT5" s="452"/>
      <c r="CU5" s="452"/>
      <c r="CV5" s="452"/>
      <c r="CW5" s="452"/>
      <c r="CX5" s="452"/>
      <c r="CY5" s="452"/>
      <c r="CZ5" s="452"/>
      <c r="DA5" s="452"/>
      <c r="DB5" s="452"/>
      <c r="DC5" s="452"/>
      <c r="DD5" s="452"/>
      <c r="DE5" s="452"/>
      <c r="DF5" s="452"/>
      <c r="DG5" s="452"/>
      <c r="DH5" s="452"/>
      <c r="DI5" s="452"/>
      <c r="DJ5" s="452"/>
      <c r="DK5" s="452"/>
      <c r="DL5" s="452"/>
      <c r="DM5" s="452"/>
      <c r="DN5" s="452"/>
      <c r="DO5" s="452"/>
      <c r="DP5" s="452"/>
      <c r="DQ5" s="452"/>
      <c r="DR5" s="452"/>
      <c r="DS5" s="452"/>
      <c r="DT5" s="452"/>
      <c r="DU5" s="452"/>
      <c r="DV5" s="452"/>
      <c r="DW5" s="452"/>
      <c r="DX5" s="452"/>
      <c r="DY5" s="452"/>
      <c r="DZ5" s="452"/>
      <c r="EA5" s="452"/>
      <c r="EB5" s="452"/>
      <c r="EC5" s="450"/>
      <c r="ED5"/>
      <c r="EE5"/>
    </row>
    <row r="6" spans="1:137" ht="31.5" customHeight="1" x14ac:dyDescent="0.35">
      <c r="B6" s="343" t="s">
        <v>139</v>
      </c>
      <c r="C6" s="23">
        <f>D6+E6+F6</f>
        <v>43</v>
      </c>
      <c r="D6" s="480">
        <v>3</v>
      </c>
      <c r="E6" s="481">
        <v>1</v>
      </c>
      <c r="F6" s="482">
        <v>39</v>
      </c>
      <c r="H6" s="22"/>
      <c r="I6" s="374" t="s">
        <v>305</v>
      </c>
      <c r="J6" s="22"/>
      <c r="K6" s="337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EA6"/>
      <c r="EB6"/>
      <c r="EC6"/>
      <c r="ED6"/>
      <c r="EE6"/>
    </row>
    <row r="7" spans="1:137" ht="15" customHeight="1" x14ac:dyDescent="0.35">
      <c r="B7" s="22"/>
      <c r="C7" s="399">
        <f>D9/D6</f>
        <v>37.80219780219781</v>
      </c>
      <c r="D7" s="400">
        <f>D6*37</f>
        <v>111</v>
      </c>
      <c r="E7" s="401">
        <f>E9/(D6+E6)</f>
        <v>35.839660339660348</v>
      </c>
      <c r="F7" s="402">
        <f>(D6+E6)*15</f>
        <v>60</v>
      </c>
      <c r="G7" s="22"/>
      <c r="H7" s="22"/>
      <c r="I7" s="375" t="s">
        <v>153</v>
      </c>
      <c r="J7" s="22"/>
      <c r="K7" s="336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EA7"/>
      <c r="EB7"/>
      <c r="EC7"/>
      <c r="ED7"/>
      <c r="EE7"/>
    </row>
    <row r="8" spans="1:137" ht="39.75" customHeight="1" x14ac:dyDescent="0.35">
      <c r="B8" s="344" t="s">
        <v>138</v>
      </c>
      <c r="C8" s="26" t="s">
        <v>134</v>
      </c>
      <c r="D8" s="27" t="str">
        <f>CONCATENATE(B1," ",C1," ",C6," ",D1)</f>
        <v>meses de los 43 del grupo Interv</v>
      </c>
      <c r="E8" s="27" t="str">
        <f>CONCATENATE(B1," ",C1," ",C6," ",E1)</f>
        <v>meses de los 43 del grupo Contr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EA8"/>
      <c r="EB8"/>
      <c r="EC8"/>
      <c r="ED8"/>
      <c r="EE8"/>
    </row>
    <row r="9" spans="1:137" ht="21" customHeight="1" x14ac:dyDescent="0.35">
      <c r="B9" s="405" t="s">
        <v>1</v>
      </c>
      <c r="C9" s="28">
        <v>2.6373626373626378</v>
      </c>
      <c r="D9" s="372">
        <f>C9*C6</f>
        <v>113.40659340659343</v>
      </c>
      <c r="E9" s="575">
        <f>(C9+C10)*C6</f>
        <v>143.35864135864139</v>
      </c>
      <c r="F9" s="29"/>
      <c r="G9" s="29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22"/>
      <c r="BQ9" s="22"/>
      <c r="BR9" s="22"/>
      <c r="EA9"/>
      <c r="EB9"/>
      <c r="EC9"/>
      <c r="ED9"/>
      <c r="EE9"/>
    </row>
    <row r="10" spans="1:137" ht="26" x14ac:dyDescent="0.35">
      <c r="B10" s="406" t="s">
        <v>3</v>
      </c>
      <c r="C10" s="31">
        <v>0.69655925469878976</v>
      </c>
      <c r="D10" s="576">
        <f>(C11+C10)*C6</f>
        <v>2466.5934065934066</v>
      </c>
      <c r="E10" s="575"/>
      <c r="F10" s="25"/>
      <c r="G10" s="401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22"/>
      <c r="BQ10" s="22"/>
      <c r="BR10" s="22"/>
      <c r="EA10"/>
      <c r="EB10"/>
      <c r="EC10"/>
      <c r="ED10"/>
      <c r="EE10"/>
    </row>
    <row r="11" spans="1:137" ht="26" x14ac:dyDescent="0.35">
      <c r="B11" s="407" t="s">
        <v>2</v>
      </c>
      <c r="C11" s="33">
        <v>56.666078107938574</v>
      </c>
      <c r="D11" s="576"/>
      <c r="E11" s="34">
        <f>C11*C6</f>
        <v>2436.6413586413587</v>
      </c>
      <c r="F11" s="24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</row>
    <row r="12" spans="1:137" x14ac:dyDescent="0.35">
      <c r="B12" s="2"/>
      <c r="C12" s="35">
        <v>60</v>
      </c>
      <c r="D12" s="36">
        <f>D9+D10</f>
        <v>2580</v>
      </c>
      <c r="E12" s="36">
        <f>E9+E11</f>
        <v>2580</v>
      </c>
      <c r="F12" s="37"/>
      <c r="G12" s="37"/>
      <c r="H12" s="373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</row>
    <row r="13" spans="1:137" ht="9" customHeight="1" x14ac:dyDescent="0.35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</row>
    <row r="14" spans="1:137" x14ac:dyDescent="0.35">
      <c r="B14" s="22"/>
      <c r="C14" s="22"/>
      <c r="D14" s="18">
        <f>(F6+E6)*C12</f>
        <v>2400</v>
      </c>
      <c r="E14" s="18">
        <f>F6*C12</f>
        <v>2340</v>
      </c>
      <c r="F14" s="22"/>
      <c r="G14" s="38" t="s">
        <v>12</v>
      </c>
      <c r="H14" s="22"/>
      <c r="I14" s="22"/>
      <c r="J14" s="22"/>
      <c r="K14" s="22"/>
      <c r="L14" s="22"/>
      <c r="M14" s="22"/>
      <c r="N14" s="22"/>
      <c r="O14" s="22"/>
      <c r="P14" s="22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</row>
    <row r="15" spans="1:137" ht="36" customHeight="1" x14ac:dyDescent="0.35">
      <c r="B15" s="577" t="s">
        <v>13</v>
      </c>
      <c r="C15" s="577"/>
      <c r="D15" s="39">
        <f>D10-D14</f>
        <v>66.593406593406598</v>
      </c>
      <c r="E15" s="39">
        <f>E11-E14</f>
        <v>96.641358641358693</v>
      </c>
      <c r="G15" s="578" t="str">
        <f>IF((AND(((C10+C11)/C12)&gt;((E6+F6)/C6),(C11/C12)&gt;(F6/C6))),F2,#REF!)</f>
        <v>puede representarse llegando los 43 pacientes, a los 60 meses</v>
      </c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440"/>
      <c r="Y15" s="440"/>
      <c r="Z15" s="440"/>
      <c r="AA15" s="440"/>
      <c r="AB15" s="440"/>
      <c r="AC15" s="440"/>
      <c r="AD15" s="440"/>
      <c r="AE15" s="440"/>
      <c r="AF15" s="440"/>
      <c r="AG15" s="440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</row>
    <row r="16" spans="1:137" ht="18.75" customHeight="1" x14ac:dyDescent="0.35">
      <c r="B16" s="40"/>
      <c r="C16" s="40"/>
      <c r="D16" s="40"/>
      <c r="E16" s="40"/>
      <c r="G16" s="41"/>
      <c r="H16" s="439">
        <v>60</v>
      </c>
      <c r="I16" s="439">
        <v>59</v>
      </c>
      <c r="J16" s="439">
        <v>58</v>
      </c>
      <c r="K16" s="439">
        <v>57</v>
      </c>
      <c r="L16" s="439">
        <v>56</v>
      </c>
      <c r="M16" s="439">
        <v>55</v>
      </c>
      <c r="N16" s="439">
        <v>54</v>
      </c>
      <c r="O16" s="439">
        <v>53</v>
      </c>
      <c r="P16" s="439">
        <v>52</v>
      </c>
      <c r="Q16" s="439">
        <v>51</v>
      </c>
      <c r="R16" s="439">
        <v>50</v>
      </c>
      <c r="S16" s="439">
        <v>49</v>
      </c>
      <c r="T16" s="439">
        <v>48</v>
      </c>
      <c r="U16" s="439">
        <v>47</v>
      </c>
      <c r="V16" s="439">
        <v>46</v>
      </c>
      <c r="W16" s="439">
        <v>45</v>
      </c>
      <c r="X16" s="439">
        <v>44</v>
      </c>
      <c r="Y16" s="439">
        <v>43</v>
      </c>
      <c r="Z16" s="439">
        <v>42</v>
      </c>
      <c r="AA16" s="439">
        <v>41</v>
      </c>
      <c r="AB16" s="439">
        <v>40</v>
      </c>
      <c r="AC16" s="439">
        <v>39</v>
      </c>
      <c r="AD16" s="439">
        <v>38</v>
      </c>
      <c r="AE16" s="439">
        <v>37</v>
      </c>
      <c r="AF16" s="439">
        <v>36</v>
      </c>
      <c r="AG16" s="439">
        <v>35</v>
      </c>
      <c r="AH16" s="439">
        <v>34</v>
      </c>
      <c r="AI16" s="439">
        <v>33</v>
      </c>
      <c r="AJ16" s="439">
        <v>32</v>
      </c>
      <c r="AK16" s="439">
        <v>31</v>
      </c>
      <c r="AL16" s="439">
        <v>30</v>
      </c>
      <c r="AM16" s="439">
        <v>29</v>
      </c>
      <c r="AN16" s="439">
        <v>28</v>
      </c>
      <c r="AO16" s="439">
        <v>27</v>
      </c>
      <c r="AP16" s="439">
        <v>26</v>
      </c>
      <c r="AQ16" s="439">
        <v>25</v>
      </c>
      <c r="AR16" s="439">
        <v>24</v>
      </c>
      <c r="AS16" s="439">
        <v>23</v>
      </c>
      <c r="AT16" s="439">
        <v>22</v>
      </c>
      <c r="AU16" s="439">
        <v>21</v>
      </c>
      <c r="AV16" s="439">
        <v>20</v>
      </c>
      <c r="AW16" s="439">
        <v>19</v>
      </c>
      <c r="AX16" s="439">
        <v>18</v>
      </c>
      <c r="AY16" s="439">
        <v>17</v>
      </c>
      <c r="AZ16" s="439">
        <v>16</v>
      </c>
      <c r="BA16" s="439">
        <v>15</v>
      </c>
      <c r="BB16" s="439">
        <v>14</v>
      </c>
      <c r="BC16" s="439">
        <v>13</v>
      </c>
      <c r="BD16" s="439">
        <v>12</v>
      </c>
      <c r="BE16" s="439">
        <v>11</v>
      </c>
      <c r="BF16" s="439">
        <v>10</v>
      </c>
      <c r="BG16" s="439">
        <v>9</v>
      </c>
      <c r="BH16" s="439">
        <v>8</v>
      </c>
      <c r="BI16" s="439">
        <v>7</v>
      </c>
      <c r="BJ16" s="439">
        <v>6</v>
      </c>
      <c r="BK16" s="439">
        <v>5</v>
      </c>
      <c r="BL16" s="439">
        <v>4</v>
      </c>
      <c r="BM16" s="439">
        <v>3</v>
      </c>
      <c r="BN16" s="439">
        <v>2</v>
      </c>
      <c r="BO16" s="439">
        <v>1</v>
      </c>
      <c r="BP16" s="41"/>
      <c r="BQ16" s="41"/>
      <c r="BR16" s="41"/>
      <c r="BS16" s="439">
        <v>60</v>
      </c>
      <c r="BT16" s="439">
        <v>59</v>
      </c>
      <c r="BU16" s="439">
        <v>58</v>
      </c>
      <c r="BV16" s="439">
        <v>57</v>
      </c>
      <c r="BW16" s="439">
        <v>56</v>
      </c>
      <c r="BX16" s="439">
        <v>55</v>
      </c>
      <c r="BY16" s="439">
        <v>54</v>
      </c>
      <c r="BZ16" s="439">
        <v>53</v>
      </c>
      <c r="CA16" s="439">
        <v>52</v>
      </c>
      <c r="CB16" s="439">
        <v>51</v>
      </c>
      <c r="CC16" s="439">
        <v>50</v>
      </c>
      <c r="CD16" s="439">
        <v>49</v>
      </c>
      <c r="CE16" s="439">
        <v>48</v>
      </c>
      <c r="CF16" s="439">
        <v>47</v>
      </c>
      <c r="CG16" s="439">
        <v>46</v>
      </c>
      <c r="CH16" s="439">
        <v>45</v>
      </c>
      <c r="CI16" s="439">
        <v>44</v>
      </c>
      <c r="CJ16" s="439">
        <v>43</v>
      </c>
      <c r="CK16" s="439">
        <v>42</v>
      </c>
      <c r="CL16" s="439">
        <v>41</v>
      </c>
      <c r="CM16" s="439">
        <v>40</v>
      </c>
      <c r="CN16" s="439">
        <v>39</v>
      </c>
      <c r="CO16" s="439">
        <v>38</v>
      </c>
      <c r="CP16" s="439">
        <v>37</v>
      </c>
      <c r="CQ16" s="439">
        <v>36</v>
      </c>
      <c r="CR16" s="439">
        <v>35</v>
      </c>
      <c r="CS16" s="439">
        <v>34</v>
      </c>
      <c r="CT16" s="439">
        <v>33</v>
      </c>
      <c r="CU16" s="439">
        <v>32</v>
      </c>
      <c r="CV16" s="439">
        <v>31</v>
      </c>
      <c r="CW16" s="439">
        <v>30</v>
      </c>
      <c r="CX16" s="439">
        <v>29</v>
      </c>
      <c r="CY16" s="439">
        <v>28</v>
      </c>
      <c r="CZ16" s="439">
        <v>27</v>
      </c>
      <c r="DA16" s="439">
        <v>26</v>
      </c>
      <c r="DB16" s="439">
        <v>25</v>
      </c>
      <c r="DC16" s="439">
        <v>24</v>
      </c>
      <c r="DD16" s="439">
        <v>23</v>
      </c>
      <c r="DE16" s="439">
        <v>22</v>
      </c>
      <c r="DF16" s="439">
        <v>21</v>
      </c>
      <c r="DG16" s="439">
        <v>20</v>
      </c>
      <c r="DH16" s="439">
        <v>19</v>
      </c>
      <c r="DI16" s="439">
        <v>18</v>
      </c>
      <c r="DJ16" s="439">
        <v>17</v>
      </c>
      <c r="DK16" s="439">
        <v>16</v>
      </c>
      <c r="DL16" s="439">
        <v>15</v>
      </c>
      <c r="DM16" s="439">
        <v>14</v>
      </c>
      <c r="DN16" s="439">
        <v>13</v>
      </c>
      <c r="DO16" s="439">
        <v>12</v>
      </c>
      <c r="DP16" s="439">
        <v>11</v>
      </c>
      <c r="DQ16" s="439">
        <v>10</v>
      </c>
      <c r="DR16" s="439">
        <v>9</v>
      </c>
      <c r="DS16" s="439">
        <v>8</v>
      </c>
      <c r="DT16" s="439">
        <v>7</v>
      </c>
      <c r="DU16" s="439">
        <v>6</v>
      </c>
      <c r="DV16" s="439">
        <v>5</v>
      </c>
      <c r="DW16" s="439">
        <v>4</v>
      </c>
      <c r="DX16" s="439">
        <v>3</v>
      </c>
      <c r="DY16" s="439">
        <v>2</v>
      </c>
      <c r="DZ16" s="439">
        <v>1</v>
      </c>
      <c r="EA16" s="439"/>
      <c r="EB16" s="439"/>
      <c r="EC16" s="439"/>
      <c r="ED16" s="439"/>
      <c r="EE16" s="22"/>
    </row>
    <row r="17" spans="2:139" ht="17.25" customHeight="1" x14ac:dyDescent="0.35">
      <c r="B17" s="428" t="s">
        <v>185</v>
      </c>
      <c r="C17" s="490"/>
      <c r="D17" s="40"/>
      <c r="E17" s="40"/>
      <c r="H17" s="42" t="s">
        <v>204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1"/>
      <c r="BQ17" s="41"/>
      <c r="BR17" s="41"/>
      <c r="BS17" s="42" t="s">
        <v>205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1"/>
      <c r="EB17" s="41"/>
      <c r="EC17" s="41"/>
      <c r="ED17" s="41"/>
      <c r="EE17" s="41"/>
    </row>
    <row r="18" spans="2:139" ht="15" x14ac:dyDescent="0.35">
      <c r="B18" s="93" t="s">
        <v>256</v>
      </c>
      <c r="C18" s="46"/>
      <c r="D18" s="409"/>
      <c r="E18" s="40"/>
      <c r="H18" s="42" t="s">
        <v>145</v>
      </c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S18" s="42" t="s">
        <v>145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</row>
    <row r="19" spans="2:139" ht="15" x14ac:dyDescent="0.35">
      <c r="B19" s="93" t="s">
        <v>257</v>
      </c>
      <c r="C19" s="409"/>
      <c r="D19" s="409"/>
      <c r="E19" s="40"/>
      <c r="G19" s="20"/>
      <c r="H19" s="438">
        <v>1</v>
      </c>
      <c r="I19" s="438">
        <v>2</v>
      </c>
      <c r="J19" s="438">
        <v>3</v>
      </c>
      <c r="K19" s="438">
        <v>4</v>
      </c>
      <c r="L19" s="438">
        <v>5</v>
      </c>
      <c r="M19" s="438">
        <v>6</v>
      </c>
      <c r="N19" s="438">
        <v>7</v>
      </c>
      <c r="O19" s="438">
        <v>8</v>
      </c>
      <c r="P19" s="438">
        <v>9</v>
      </c>
      <c r="Q19" s="438">
        <v>10</v>
      </c>
      <c r="R19" s="438">
        <v>11</v>
      </c>
      <c r="S19" s="438">
        <v>12</v>
      </c>
      <c r="T19" s="438">
        <v>13</v>
      </c>
      <c r="U19" s="438">
        <v>14</v>
      </c>
      <c r="V19" s="438">
        <v>15</v>
      </c>
      <c r="W19" s="438">
        <v>16</v>
      </c>
      <c r="X19" s="438">
        <v>17</v>
      </c>
      <c r="Y19" s="438">
        <v>18</v>
      </c>
      <c r="Z19" s="438">
        <v>19</v>
      </c>
      <c r="AA19" s="438">
        <v>20</v>
      </c>
      <c r="AB19" s="438">
        <v>21</v>
      </c>
      <c r="AC19" s="438">
        <v>22</v>
      </c>
      <c r="AD19" s="438">
        <v>23</v>
      </c>
      <c r="AE19" s="438">
        <v>24</v>
      </c>
      <c r="AF19" s="438">
        <v>25</v>
      </c>
      <c r="AG19" s="438">
        <v>26</v>
      </c>
      <c r="AH19" s="438">
        <v>27</v>
      </c>
      <c r="AI19" s="438">
        <v>28</v>
      </c>
      <c r="AJ19" s="438">
        <v>29</v>
      </c>
      <c r="AK19" s="438">
        <v>30</v>
      </c>
      <c r="AL19" s="438">
        <v>31</v>
      </c>
      <c r="AM19" s="438">
        <v>32</v>
      </c>
      <c r="AN19" s="438">
        <v>33</v>
      </c>
      <c r="AO19" s="438">
        <v>34</v>
      </c>
      <c r="AP19" s="438">
        <v>35</v>
      </c>
      <c r="AQ19" s="438">
        <v>36</v>
      </c>
      <c r="AR19" s="438">
        <v>37</v>
      </c>
      <c r="AS19" s="438">
        <v>38</v>
      </c>
      <c r="AT19" s="438">
        <v>39</v>
      </c>
      <c r="AU19" s="438">
        <v>40</v>
      </c>
      <c r="AV19" s="438">
        <v>41</v>
      </c>
      <c r="AW19" s="438">
        <v>42</v>
      </c>
      <c r="AX19" s="438">
        <v>43</v>
      </c>
      <c r="AY19" s="438">
        <v>44</v>
      </c>
      <c r="AZ19" s="438">
        <v>45</v>
      </c>
      <c r="BA19" s="438">
        <v>46</v>
      </c>
      <c r="BB19" s="438">
        <v>47</v>
      </c>
      <c r="BC19" s="438">
        <v>48</v>
      </c>
      <c r="BD19" s="438">
        <v>49</v>
      </c>
      <c r="BE19" s="438">
        <v>50</v>
      </c>
      <c r="BF19" s="438">
        <v>51</v>
      </c>
      <c r="BG19" s="438">
        <v>52</v>
      </c>
      <c r="BH19" s="438">
        <v>53</v>
      </c>
      <c r="BI19" s="438">
        <v>54</v>
      </c>
      <c r="BJ19" s="438">
        <v>55</v>
      </c>
      <c r="BK19" s="438">
        <v>56</v>
      </c>
      <c r="BL19" s="438">
        <v>57</v>
      </c>
      <c r="BM19" s="438">
        <v>58</v>
      </c>
      <c r="BN19" s="438">
        <v>59</v>
      </c>
      <c r="BO19" s="438">
        <v>60</v>
      </c>
      <c r="BP19" s="345"/>
      <c r="BQ19" s="345"/>
      <c r="BR19" s="20"/>
      <c r="BS19" s="438">
        <v>1</v>
      </c>
      <c r="BT19" s="438">
        <v>2</v>
      </c>
      <c r="BU19" s="438">
        <v>3</v>
      </c>
      <c r="BV19" s="438">
        <v>4</v>
      </c>
      <c r="BW19" s="438">
        <v>5</v>
      </c>
      <c r="BX19" s="438">
        <v>6</v>
      </c>
      <c r="BY19" s="438">
        <v>7</v>
      </c>
      <c r="BZ19" s="438">
        <v>8</v>
      </c>
      <c r="CA19" s="438">
        <v>9</v>
      </c>
      <c r="CB19" s="438">
        <v>10</v>
      </c>
      <c r="CC19" s="438">
        <v>11</v>
      </c>
      <c r="CD19" s="438">
        <v>12</v>
      </c>
      <c r="CE19" s="438">
        <v>13</v>
      </c>
      <c r="CF19" s="438">
        <v>14</v>
      </c>
      <c r="CG19" s="438">
        <v>15</v>
      </c>
      <c r="CH19" s="438">
        <v>16</v>
      </c>
      <c r="CI19" s="438">
        <v>17</v>
      </c>
      <c r="CJ19" s="438">
        <v>18</v>
      </c>
      <c r="CK19" s="438">
        <v>19</v>
      </c>
      <c r="CL19" s="438">
        <v>20</v>
      </c>
      <c r="CM19" s="438">
        <v>21</v>
      </c>
      <c r="CN19" s="438">
        <v>22</v>
      </c>
      <c r="CO19" s="438">
        <v>23</v>
      </c>
      <c r="CP19" s="438">
        <v>24</v>
      </c>
      <c r="CQ19" s="438">
        <v>25</v>
      </c>
      <c r="CR19" s="438">
        <v>26</v>
      </c>
      <c r="CS19" s="438">
        <v>27</v>
      </c>
      <c r="CT19" s="438">
        <v>28</v>
      </c>
      <c r="CU19" s="438">
        <v>29</v>
      </c>
      <c r="CV19" s="438">
        <v>30</v>
      </c>
      <c r="CW19" s="438">
        <v>31</v>
      </c>
      <c r="CX19" s="438">
        <v>32</v>
      </c>
      <c r="CY19" s="438">
        <v>33</v>
      </c>
      <c r="CZ19" s="438">
        <v>34</v>
      </c>
      <c r="DA19" s="438">
        <v>35</v>
      </c>
      <c r="DB19" s="438">
        <v>36</v>
      </c>
      <c r="DC19" s="438">
        <v>37</v>
      </c>
      <c r="DD19" s="438">
        <v>38</v>
      </c>
      <c r="DE19" s="438">
        <v>39</v>
      </c>
      <c r="DF19" s="438">
        <v>40</v>
      </c>
      <c r="DG19" s="438">
        <v>41</v>
      </c>
      <c r="DH19" s="438">
        <v>42</v>
      </c>
      <c r="DI19" s="438">
        <v>43</v>
      </c>
      <c r="DJ19" s="438">
        <v>44</v>
      </c>
      <c r="DK19" s="438">
        <v>45</v>
      </c>
      <c r="DL19" s="438">
        <v>46</v>
      </c>
      <c r="DM19" s="438">
        <v>47</v>
      </c>
      <c r="DN19" s="438">
        <v>48</v>
      </c>
      <c r="DO19" s="438">
        <v>49</v>
      </c>
      <c r="DP19" s="438">
        <v>50</v>
      </c>
      <c r="DQ19" s="438">
        <v>51</v>
      </c>
      <c r="DR19" s="438">
        <v>52</v>
      </c>
      <c r="DS19" s="438">
        <v>53</v>
      </c>
      <c r="DT19" s="438">
        <v>54</v>
      </c>
      <c r="DU19" s="438">
        <v>55</v>
      </c>
      <c r="DV19" s="438">
        <v>56</v>
      </c>
      <c r="DW19" s="438">
        <v>57</v>
      </c>
      <c r="DX19" s="438">
        <v>58</v>
      </c>
      <c r="DY19" s="438">
        <v>59</v>
      </c>
      <c r="DZ19" s="438">
        <v>60</v>
      </c>
      <c r="EA19" s="345"/>
      <c r="EB19"/>
    </row>
    <row r="20" spans="2:139" ht="14.5" customHeight="1" x14ac:dyDescent="0.35">
      <c r="B20" s="93"/>
      <c r="C20" s="46"/>
      <c r="D20" s="46"/>
      <c r="F20" s="579" t="s">
        <v>144</v>
      </c>
      <c r="G20" s="45">
        <v>43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03"/>
      <c r="AF20" s="403"/>
      <c r="AG20" s="403"/>
      <c r="AH20" s="403"/>
      <c r="AI20" s="403"/>
      <c r="AJ20" s="403"/>
      <c r="AK20" s="403"/>
      <c r="AL20" s="403"/>
      <c r="AM20" s="403"/>
      <c r="AN20" s="403"/>
      <c r="AO20" s="403"/>
      <c r="AP20" s="403"/>
      <c r="AQ20" s="403"/>
      <c r="AR20" s="403"/>
      <c r="AS20" s="403"/>
      <c r="AT20" s="403"/>
      <c r="AU20" s="403"/>
      <c r="AV20" s="403"/>
      <c r="AW20" s="403"/>
      <c r="AX20" s="403"/>
      <c r="AY20" s="403"/>
      <c r="AZ20" s="403"/>
      <c r="BA20" s="403"/>
      <c r="BB20" s="403"/>
      <c r="BC20" s="403"/>
      <c r="BD20" s="403"/>
      <c r="BE20" s="403"/>
      <c r="BF20" s="403"/>
      <c r="BG20" s="403"/>
      <c r="BH20" s="403"/>
      <c r="BI20" s="403"/>
      <c r="BJ20" s="403"/>
      <c r="BK20" s="403"/>
      <c r="BL20" s="403"/>
      <c r="BM20" s="403"/>
      <c r="BN20" s="403"/>
      <c r="BO20" s="403"/>
      <c r="BP20" s="484">
        <v>43</v>
      </c>
      <c r="BQ20" s="20"/>
      <c r="BR20" s="45">
        <v>43</v>
      </c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03"/>
      <c r="CQ20" s="403"/>
      <c r="CR20" s="403"/>
      <c r="CS20" s="403"/>
      <c r="CT20" s="403"/>
      <c r="CU20" s="403"/>
      <c r="CV20" s="403"/>
      <c r="CW20" s="403"/>
      <c r="CX20" s="403"/>
      <c r="CY20" s="403"/>
      <c r="CZ20" s="403"/>
      <c r="DA20" s="403"/>
      <c r="DB20" s="403"/>
      <c r="DC20" s="403"/>
      <c r="DD20" s="403"/>
      <c r="DE20" s="403"/>
      <c r="DF20" s="403"/>
      <c r="DG20" s="403"/>
      <c r="DH20" s="403"/>
      <c r="DI20" s="403"/>
      <c r="DJ20" s="403"/>
      <c r="DK20" s="403"/>
      <c r="DL20" s="403"/>
      <c r="DM20" s="403"/>
      <c r="DN20" s="403"/>
      <c r="DO20" s="403"/>
      <c r="DP20" s="403"/>
      <c r="DQ20" s="403"/>
      <c r="DR20" s="403"/>
      <c r="DS20" s="403"/>
      <c r="DT20" s="403"/>
      <c r="DU20" s="403"/>
      <c r="DV20" s="403"/>
      <c r="DW20" s="403"/>
      <c r="DX20" s="403"/>
      <c r="DY20" s="403"/>
      <c r="DZ20" s="403"/>
      <c r="EA20" s="484">
        <v>43</v>
      </c>
      <c r="EB20" s="579" t="s">
        <v>144</v>
      </c>
      <c r="EC20" s="43"/>
      <c r="ED20" s="43"/>
      <c r="EE20" s="43"/>
      <c r="EF20" s="43"/>
      <c r="EG20" s="43"/>
      <c r="EH20" s="43"/>
      <c r="EI20" s="43"/>
    </row>
    <row r="21" spans="2:139" x14ac:dyDescent="0.35">
      <c r="B21" s="93"/>
      <c r="C21" s="46"/>
      <c r="D21" s="46"/>
      <c r="F21" s="579"/>
      <c r="G21" s="45">
        <v>42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03"/>
      <c r="AF21" s="403"/>
      <c r="AG21" s="403"/>
      <c r="AH21" s="403"/>
      <c r="AI21" s="403"/>
      <c r="AJ21" s="403"/>
      <c r="AK21" s="403"/>
      <c r="AL21" s="403"/>
      <c r="AM21" s="403"/>
      <c r="AN21" s="403"/>
      <c r="AO21" s="403"/>
      <c r="AP21" s="403"/>
      <c r="AQ21" s="403"/>
      <c r="AR21" s="403"/>
      <c r="AS21" s="403"/>
      <c r="AT21" s="403"/>
      <c r="AU21" s="403"/>
      <c r="AV21" s="403"/>
      <c r="AW21" s="403"/>
      <c r="AX21" s="403"/>
      <c r="AY21" s="403"/>
      <c r="AZ21" s="403"/>
      <c r="BA21" s="403"/>
      <c r="BB21" s="403"/>
      <c r="BC21" s="403"/>
      <c r="BD21" s="403"/>
      <c r="BE21" s="403"/>
      <c r="BF21" s="403"/>
      <c r="BG21" s="403"/>
      <c r="BH21" s="403"/>
      <c r="BI21" s="403"/>
      <c r="BJ21" s="403"/>
      <c r="BK21" s="403"/>
      <c r="BL21" s="403"/>
      <c r="BM21" s="403"/>
      <c r="BN21" s="403"/>
      <c r="BO21" s="403"/>
      <c r="BP21" s="484">
        <v>42</v>
      </c>
      <c r="BQ21" s="20"/>
      <c r="BR21" s="45">
        <v>42</v>
      </c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03"/>
      <c r="CQ21" s="403"/>
      <c r="CR21" s="403"/>
      <c r="CS21" s="403"/>
      <c r="CT21" s="403"/>
      <c r="CU21" s="403"/>
      <c r="CV21" s="403"/>
      <c r="CW21" s="403"/>
      <c r="CX21" s="403"/>
      <c r="CY21" s="403"/>
      <c r="CZ21" s="403"/>
      <c r="DA21" s="403"/>
      <c r="DB21" s="403"/>
      <c r="DC21" s="403"/>
      <c r="DD21" s="403"/>
      <c r="DE21" s="403"/>
      <c r="DF21" s="403"/>
      <c r="DG21" s="403"/>
      <c r="DH21" s="403"/>
      <c r="DI21" s="403"/>
      <c r="DJ21" s="403"/>
      <c r="DK21" s="403"/>
      <c r="DL21" s="403"/>
      <c r="DM21" s="403"/>
      <c r="DN21" s="403"/>
      <c r="DO21" s="403"/>
      <c r="DP21" s="403"/>
      <c r="DQ21" s="403"/>
      <c r="DR21" s="403"/>
      <c r="DS21" s="403"/>
      <c r="DT21" s="403"/>
      <c r="DU21" s="403"/>
      <c r="DV21" s="403"/>
      <c r="DW21" s="403"/>
      <c r="DX21" s="403"/>
      <c r="DY21" s="403"/>
      <c r="DZ21" s="403"/>
      <c r="EA21" s="484">
        <v>42</v>
      </c>
      <c r="EB21" s="579"/>
      <c r="EC21" s="43"/>
      <c r="ED21" s="43"/>
      <c r="EE21" s="43"/>
      <c r="EF21" s="43"/>
      <c r="EG21" s="43"/>
      <c r="EH21" s="43"/>
      <c r="EI21" s="43"/>
    </row>
    <row r="22" spans="2:139" ht="15" thickBot="1" x14ac:dyDescent="0.4">
      <c r="B22" s="93"/>
      <c r="C22" s="46"/>
      <c r="D22" s="46"/>
      <c r="F22" s="579"/>
      <c r="G22" s="45">
        <v>41</v>
      </c>
      <c r="H22" s="487"/>
      <c r="I22" s="487"/>
      <c r="J22" s="487"/>
      <c r="K22" s="487"/>
      <c r="L22" s="487"/>
      <c r="M22" s="487"/>
      <c r="N22" s="487"/>
      <c r="O22" s="487"/>
      <c r="P22" s="487"/>
      <c r="Q22" s="487"/>
      <c r="R22" s="487"/>
      <c r="S22" s="487"/>
      <c r="T22" s="487"/>
      <c r="U22" s="487"/>
      <c r="V22" s="487"/>
      <c r="W22" s="487"/>
      <c r="X22" s="487"/>
      <c r="Y22" s="487"/>
      <c r="Z22" s="487"/>
      <c r="AA22" s="487"/>
      <c r="AB22" s="487"/>
      <c r="AC22" s="487"/>
      <c r="AD22" s="487"/>
      <c r="AE22" s="488"/>
      <c r="AF22" s="488"/>
      <c r="AG22" s="488"/>
      <c r="AH22" s="488"/>
      <c r="AI22" s="488"/>
      <c r="AJ22" s="488"/>
      <c r="AK22" s="488"/>
      <c r="AL22" s="488"/>
      <c r="AM22" s="488"/>
      <c r="AN22" s="488"/>
      <c r="AO22" s="488"/>
      <c r="AP22" s="488"/>
      <c r="AQ22" s="488"/>
      <c r="AR22" s="488"/>
      <c r="AS22" s="488"/>
      <c r="AT22" s="488"/>
      <c r="AU22" s="488"/>
      <c r="AV22" s="488"/>
      <c r="AW22" s="488"/>
      <c r="AX22" s="488"/>
      <c r="AY22" s="488"/>
      <c r="AZ22" s="488"/>
      <c r="BA22" s="488"/>
      <c r="BB22" s="488"/>
      <c r="BC22" s="488"/>
      <c r="BD22" s="488"/>
      <c r="BE22" s="488"/>
      <c r="BF22" s="488"/>
      <c r="BG22" s="488"/>
      <c r="BH22" s="488"/>
      <c r="BI22" s="488"/>
      <c r="BJ22" s="488"/>
      <c r="BK22" s="488"/>
      <c r="BL22" s="488"/>
      <c r="BM22" s="488"/>
      <c r="BN22" s="488"/>
      <c r="BO22" s="488"/>
      <c r="BP22" s="484">
        <v>41</v>
      </c>
      <c r="BQ22" s="20"/>
      <c r="BR22" s="45">
        <v>41</v>
      </c>
      <c r="BS22" s="487"/>
      <c r="BT22" s="487"/>
      <c r="BU22" s="487"/>
      <c r="BV22" s="487"/>
      <c r="BW22" s="487"/>
      <c r="BX22" s="487"/>
      <c r="BY22" s="487"/>
      <c r="BZ22" s="487"/>
      <c r="CA22" s="487"/>
      <c r="CB22" s="487"/>
      <c r="CC22" s="487"/>
      <c r="CD22" s="487"/>
      <c r="CE22" s="487"/>
      <c r="CF22" s="487"/>
      <c r="CG22" s="487"/>
      <c r="CH22" s="487"/>
      <c r="CI22" s="487"/>
      <c r="CJ22" s="487"/>
      <c r="CK22" s="487"/>
      <c r="CL22" s="487"/>
      <c r="CM22" s="487"/>
      <c r="CN22" s="487"/>
      <c r="CO22" s="487"/>
      <c r="CP22" s="488"/>
      <c r="CQ22" s="488"/>
      <c r="CR22" s="488"/>
      <c r="CS22" s="488"/>
      <c r="CT22" s="488"/>
      <c r="CU22" s="488"/>
      <c r="CV22" s="488"/>
      <c r="CW22" s="488"/>
      <c r="CX22" s="488"/>
      <c r="CY22" s="488"/>
      <c r="CZ22" s="488"/>
      <c r="DA22" s="488"/>
      <c r="DB22" s="488"/>
      <c r="DC22" s="488"/>
      <c r="DD22" s="488"/>
      <c r="DE22" s="488"/>
      <c r="DF22" s="488"/>
      <c r="DG22" s="488"/>
      <c r="DH22" s="488"/>
      <c r="DI22" s="488"/>
      <c r="DJ22" s="488"/>
      <c r="DK22" s="488"/>
      <c r="DL22" s="488"/>
      <c r="DM22" s="488"/>
      <c r="DN22" s="488"/>
      <c r="DO22" s="488"/>
      <c r="DP22" s="488"/>
      <c r="DQ22" s="488"/>
      <c r="DR22" s="488"/>
      <c r="DS22" s="488"/>
      <c r="DT22" s="488"/>
      <c r="DU22" s="488"/>
      <c r="DV22" s="488"/>
      <c r="DW22" s="488"/>
      <c r="DX22" s="488"/>
      <c r="DY22" s="488"/>
      <c r="DZ22" s="488"/>
      <c r="EA22" s="484">
        <v>41</v>
      </c>
      <c r="EB22" s="579"/>
      <c r="EC22" s="43"/>
      <c r="ED22" s="43"/>
      <c r="EE22" s="43"/>
      <c r="EF22" s="43"/>
      <c r="EG22" s="43"/>
      <c r="EH22" s="43"/>
      <c r="EI22" s="43"/>
    </row>
    <row r="23" spans="2:139" ht="16" thickBot="1" x14ac:dyDescent="0.4">
      <c r="B23" s="291" t="s">
        <v>120</v>
      </c>
      <c r="C23" s="292"/>
      <c r="D23" s="292"/>
      <c r="E23" s="293"/>
      <c r="F23" s="579"/>
      <c r="G23" s="387">
        <v>40</v>
      </c>
      <c r="H23" s="388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9"/>
      <c r="AB23" s="389"/>
      <c r="AC23" s="389"/>
      <c r="AD23" s="389"/>
      <c r="AE23" s="389"/>
      <c r="AF23" s="389"/>
      <c r="AG23" s="389"/>
      <c r="AH23" s="389"/>
      <c r="AI23" s="389"/>
      <c r="AJ23" s="389"/>
      <c r="AK23" s="389"/>
      <c r="AL23" s="389"/>
      <c r="AM23" s="389"/>
      <c r="AN23" s="389"/>
      <c r="AO23" s="389"/>
      <c r="AP23" s="389"/>
      <c r="AQ23" s="389"/>
      <c r="AR23" s="389"/>
      <c r="AS23" s="389"/>
      <c r="AT23" s="389"/>
      <c r="AU23" s="389"/>
      <c r="AV23" s="389"/>
      <c r="AW23" s="389"/>
      <c r="AX23" s="389"/>
      <c r="AY23" s="389"/>
      <c r="AZ23" s="389"/>
      <c r="BA23" s="389"/>
      <c r="BB23" s="389"/>
      <c r="BC23" s="389"/>
      <c r="BD23" s="389"/>
      <c r="BE23" s="389"/>
      <c r="BF23" s="389"/>
      <c r="BG23" s="389"/>
      <c r="BH23" s="389"/>
      <c r="BI23" s="389"/>
      <c r="BJ23" s="389"/>
      <c r="BK23" s="389"/>
      <c r="BL23" s="389"/>
      <c r="BM23" s="389"/>
      <c r="BN23" s="389"/>
      <c r="BO23" s="389"/>
      <c r="BP23" s="390">
        <v>40</v>
      </c>
      <c r="BR23" s="387">
        <v>40</v>
      </c>
      <c r="BS23" s="388"/>
      <c r="BT23" s="389"/>
      <c r="BU23" s="389"/>
      <c r="BV23" s="389"/>
      <c r="BW23" s="389"/>
      <c r="BX23" s="389"/>
      <c r="BY23" s="389"/>
      <c r="BZ23" s="389"/>
      <c r="CA23" s="389"/>
      <c r="CB23" s="389"/>
      <c r="CC23" s="389"/>
      <c r="CD23" s="389"/>
      <c r="CE23" s="389"/>
      <c r="CF23" s="389"/>
      <c r="CG23" s="389"/>
      <c r="CH23" s="389"/>
      <c r="CI23" s="389"/>
      <c r="CJ23" s="389"/>
      <c r="CK23" s="389"/>
      <c r="CL23" s="389"/>
      <c r="CM23" s="389"/>
      <c r="CN23" s="389"/>
      <c r="CO23" s="389"/>
      <c r="CP23" s="389"/>
      <c r="CQ23" s="389"/>
      <c r="CR23" s="389"/>
      <c r="CS23" s="389"/>
      <c r="CT23" s="389"/>
      <c r="CU23" s="389"/>
      <c r="CV23" s="408"/>
      <c r="CW23" s="408"/>
      <c r="CX23" s="408"/>
      <c r="CY23" s="408"/>
      <c r="CZ23" s="408"/>
      <c r="DA23" s="408"/>
      <c r="DB23" s="408"/>
      <c r="DC23" s="408"/>
      <c r="DD23" s="408"/>
      <c r="DE23" s="408"/>
      <c r="DF23" s="408"/>
      <c r="DG23" s="408"/>
      <c r="DH23" s="408"/>
      <c r="DI23" s="408"/>
      <c r="DJ23" s="408"/>
      <c r="DK23" s="408"/>
      <c r="DL23" s="408"/>
      <c r="DM23" s="408"/>
      <c r="DN23" s="408"/>
      <c r="DO23" s="408"/>
      <c r="DP23" s="408"/>
      <c r="DQ23" s="408"/>
      <c r="DR23" s="408"/>
      <c r="DS23" s="408"/>
      <c r="DT23" s="408"/>
      <c r="DU23" s="408"/>
      <c r="DV23" s="408"/>
      <c r="DW23" s="408"/>
      <c r="DX23" s="408"/>
      <c r="DY23" s="408"/>
      <c r="DZ23" s="408"/>
      <c r="EA23" s="486">
        <v>40</v>
      </c>
      <c r="EB23" s="579"/>
      <c r="EC23" s="43"/>
      <c r="ED23" s="43"/>
      <c r="EE23" s="43"/>
      <c r="EF23" s="43"/>
      <c r="EG23" s="43"/>
      <c r="EH23" s="43"/>
      <c r="EI23" s="43"/>
    </row>
    <row r="24" spans="2:139" x14ac:dyDescent="0.35">
      <c r="B24" s="294" t="s">
        <v>116</v>
      </c>
      <c r="C24" s="295" t="s">
        <v>117</v>
      </c>
      <c r="D24" s="295" t="s">
        <v>105</v>
      </c>
      <c r="E24" s="296" t="s">
        <v>11</v>
      </c>
      <c r="F24" s="579"/>
      <c r="G24" s="45">
        <v>39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5">
        <v>39</v>
      </c>
      <c r="BQ24" s="20"/>
      <c r="BR24" s="45">
        <v>39</v>
      </c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5">
        <v>39</v>
      </c>
      <c r="EB24" s="579"/>
      <c r="EC24" s="43"/>
      <c r="ED24" s="43"/>
      <c r="EE24" s="43"/>
      <c r="EF24" s="43"/>
      <c r="EG24" s="43"/>
      <c r="EH24" s="43"/>
      <c r="EI24" s="43"/>
    </row>
    <row r="25" spans="2:139" x14ac:dyDescent="0.35">
      <c r="B25" s="297">
        <v>6.4693446088794931E-2</v>
      </c>
      <c r="C25" s="298">
        <v>8.7912087912087919E-2</v>
      </c>
      <c r="D25" s="299">
        <f>C25-B25</f>
        <v>2.3218641823292988E-2</v>
      </c>
      <c r="E25" s="300">
        <f>1/D25</f>
        <v>43.068841304782865</v>
      </c>
      <c r="F25" s="579"/>
      <c r="G25" s="45">
        <v>38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5">
        <v>38</v>
      </c>
      <c r="BQ25" s="20"/>
      <c r="BR25" s="45">
        <v>38</v>
      </c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5">
        <v>38</v>
      </c>
      <c r="EB25" s="579"/>
      <c r="EC25" s="43"/>
      <c r="ED25" s="43"/>
      <c r="EE25" s="43"/>
      <c r="EF25" s="43"/>
      <c r="EG25" s="43"/>
      <c r="EH25" s="43"/>
      <c r="EI25" s="43"/>
    </row>
    <row r="26" spans="2:139" ht="15" thickBot="1" x14ac:dyDescent="0.4">
      <c r="B26" s="380" t="s">
        <v>143</v>
      </c>
      <c r="C26" s="328">
        <f>B25*E25</f>
        <v>2.7862717630578344</v>
      </c>
      <c r="D26" s="301">
        <f>D25*E25</f>
        <v>1</v>
      </c>
      <c r="E26" s="327">
        <f>(1-C25)*E25</f>
        <v>39.282569541725032</v>
      </c>
      <c r="F26" s="579"/>
      <c r="G26" s="45">
        <v>37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5">
        <v>37</v>
      </c>
      <c r="BQ26" s="20"/>
      <c r="BR26" s="45">
        <v>37</v>
      </c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5">
        <v>37</v>
      </c>
      <c r="EB26" s="579"/>
      <c r="EC26" s="43"/>
      <c r="ED26" s="43"/>
      <c r="EE26" s="43"/>
      <c r="EF26" s="43"/>
      <c r="EG26" s="43"/>
      <c r="EH26" s="43"/>
      <c r="EI26" s="43"/>
    </row>
    <row r="27" spans="2:139" x14ac:dyDescent="0.35">
      <c r="F27" s="489"/>
      <c r="G27" s="45">
        <v>36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5">
        <v>36</v>
      </c>
      <c r="BQ27" s="20"/>
      <c r="BR27" s="45">
        <v>36</v>
      </c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5">
        <v>36</v>
      </c>
      <c r="EB27" s="489"/>
      <c r="EC27" s="43"/>
      <c r="ED27" s="43"/>
      <c r="EE27" s="43"/>
      <c r="EF27" s="43"/>
      <c r="EG27" s="43"/>
      <c r="EH27" s="43"/>
      <c r="EI27" s="43"/>
    </row>
    <row r="28" spans="2:139" x14ac:dyDescent="0.35">
      <c r="G28" s="45">
        <v>35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5">
        <v>35</v>
      </c>
      <c r="BQ28" s="20"/>
      <c r="BR28" s="45">
        <v>35</v>
      </c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5">
        <v>35</v>
      </c>
      <c r="EB28"/>
      <c r="EC28" s="43"/>
      <c r="ED28" s="43"/>
      <c r="EE28" s="43"/>
      <c r="EF28" s="43"/>
      <c r="EG28" s="43"/>
      <c r="EH28" s="43"/>
      <c r="EI28" s="43"/>
    </row>
    <row r="29" spans="2:139" x14ac:dyDescent="0.35">
      <c r="G29" s="45">
        <v>34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5">
        <v>34</v>
      </c>
      <c r="BQ29" s="46"/>
      <c r="BR29" s="45">
        <v>34</v>
      </c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5">
        <v>34</v>
      </c>
      <c r="EB29" s="43"/>
      <c r="EC29" s="43"/>
      <c r="ED29" s="43"/>
      <c r="EE29" s="43"/>
      <c r="EF29" s="43"/>
      <c r="EG29" s="43"/>
      <c r="EH29" s="43"/>
      <c r="EI29" s="43"/>
    </row>
    <row r="30" spans="2:139" x14ac:dyDescent="0.35">
      <c r="G30" s="45">
        <v>33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5">
        <v>33</v>
      </c>
      <c r="BR30" s="45">
        <v>33</v>
      </c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5">
        <v>33</v>
      </c>
    </row>
    <row r="31" spans="2:139" x14ac:dyDescent="0.35">
      <c r="G31" s="45">
        <v>32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5">
        <v>32</v>
      </c>
      <c r="BR31" s="45">
        <v>32</v>
      </c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5">
        <v>32</v>
      </c>
    </row>
    <row r="32" spans="2:139" x14ac:dyDescent="0.35">
      <c r="G32" s="45">
        <v>31</v>
      </c>
      <c r="H32" s="346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5">
        <v>31</v>
      </c>
      <c r="BR32" s="45">
        <v>31</v>
      </c>
      <c r="BS32" s="346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5">
        <v>31</v>
      </c>
    </row>
    <row r="33" spans="7:131" x14ac:dyDescent="0.35">
      <c r="G33" s="45">
        <v>30</v>
      </c>
      <c r="H33" s="346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5">
        <v>30</v>
      </c>
      <c r="BR33" s="45">
        <v>30</v>
      </c>
      <c r="BS33" s="346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5">
        <v>30</v>
      </c>
    </row>
    <row r="34" spans="7:131" x14ac:dyDescent="0.35">
      <c r="G34" s="45">
        <v>29</v>
      </c>
      <c r="H34" s="346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5">
        <v>29</v>
      </c>
      <c r="BR34" s="45">
        <v>29</v>
      </c>
      <c r="BS34" s="346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5">
        <v>29</v>
      </c>
    </row>
    <row r="35" spans="7:131" x14ac:dyDescent="0.35">
      <c r="G35" s="45">
        <v>28</v>
      </c>
      <c r="H35" s="346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5">
        <v>28</v>
      </c>
      <c r="BR35" s="45">
        <v>28</v>
      </c>
      <c r="BS35" s="346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5">
        <v>28</v>
      </c>
    </row>
    <row r="36" spans="7:131" x14ac:dyDescent="0.35">
      <c r="G36" s="45">
        <v>27</v>
      </c>
      <c r="H36" s="346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5">
        <v>27</v>
      </c>
      <c r="BR36" s="45">
        <v>27</v>
      </c>
      <c r="BS36" s="346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5">
        <v>27</v>
      </c>
    </row>
    <row r="37" spans="7:131" x14ac:dyDescent="0.35">
      <c r="G37" s="45">
        <v>26</v>
      </c>
      <c r="H37" s="346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5">
        <v>26</v>
      </c>
      <c r="BR37" s="45">
        <v>26</v>
      </c>
      <c r="BS37" s="346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5">
        <v>26</v>
      </c>
    </row>
    <row r="38" spans="7:131" x14ac:dyDescent="0.35">
      <c r="G38" s="45">
        <v>25</v>
      </c>
      <c r="H38" s="346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5">
        <v>25</v>
      </c>
      <c r="BR38" s="45">
        <v>25</v>
      </c>
      <c r="BS38" s="346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5">
        <v>25</v>
      </c>
    </row>
    <row r="39" spans="7:131" x14ac:dyDescent="0.35">
      <c r="G39" s="45">
        <v>24</v>
      </c>
      <c r="H39" s="346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5">
        <v>24</v>
      </c>
      <c r="BR39" s="45">
        <v>24</v>
      </c>
      <c r="BS39" s="346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5">
        <v>24</v>
      </c>
    </row>
    <row r="40" spans="7:131" x14ac:dyDescent="0.35">
      <c r="G40" s="45">
        <v>23</v>
      </c>
      <c r="H40" s="346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5">
        <v>23</v>
      </c>
      <c r="BR40" s="45">
        <v>23</v>
      </c>
      <c r="BS40" s="346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5">
        <v>23</v>
      </c>
    </row>
    <row r="41" spans="7:131" x14ac:dyDescent="0.35">
      <c r="G41" s="45">
        <v>22</v>
      </c>
      <c r="H41" s="346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5">
        <v>22</v>
      </c>
      <c r="BR41" s="45">
        <v>22</v>
      </c>
      <c r="BS41" s="346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5">
        <v>22</v>
      </c>
    </row>
    <row r="42" spans="7:131" x14ac:dyDescent="0.35">
      <c r="G42" s="45">
        <v>21</v>
      </c>
      <c r="H42" s="346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5">
        <v>21</v>
      </c>
      <c r="BR42" s="45">
        <v>21</v>
      </c>
      <c r="BS42" s="346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5">
        <v>21</v>
      </c>
    </row>
    <row r="43" spans="7:131" x14ac:dyDescent="0.35">
      <c r="G43" s="45">
        <v>20</v>
      </c>
      <c r="H43" s="346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5">
        <v>20</v>
      </c>
      <c r="BR43" s="45">
        <v>20</v>
      </c>
      <c r="BS43" s="346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5">
        <v>20</v>
      </c>
    </row>
    <row r="44" spans="7:131" x14ac:dyDescent="0.35">
      <c r="G44" s="45">
        <v>19</v>
      </c>
      <c r="H44" s="346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5">
        <v>19</v>
      </c>
      <c r="BR44" s="45">
        <v>19</v>
      </c>
      <c r="BS44" s="346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5">
        <v>19</v>
      </c>
    </row>
    <row r="45" spans="7:131" x14ac:dyDescent="0.35">
      <c r="G45" s="45">
        <v>18</v>
      </c>
      <c r="H45" s="346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5">
        <v>18</v>
      </c>
      <c r="BR45" s="45">
        <v>18</v>
      </c>
      <c r="BS45" s="346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5">
        <v>18</v>
      </c>
    </row>
    <row r="46" spans="7:131" x14ac:dyDescent="0.35">
      <c r="G46" s="45">
        <v>17</v>
      </c>
      <c r="H46" s="346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5">
        <v>17</v>
      </c>
      <c r="BR46" s="45">
        <v>17</v>
      </c>
      <c r="BS46" s="346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5">
        <v>17</v>
      </c>
    </row>
    <row r="47" spans="7:131" x14ac:dyDescent="0.35">
      <c r="G47" s="45">
        <v>16</v>
      </c>
      <c r="H47" s="346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5">
        <v>16</v>
      </c>
      <c r="BR47" s="45">
        <v>16</v>
      </c>
      <c r="BS47" s="346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5">
        <v>16</v>
      </c>
    </row>
    <row r="48" spans="7:131" x14ac:dyDescent="0.35">
      <c r="G48" s="45">
        <v>15</v>
      </c>
      <c r="H48" s="346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5">
        <v>15</v>
      </c>
      <c r="BR48" s="45">
        <v>15</v>
      </c>
      <c r="BS48" s="346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5">
        <v>15</v>
      </c>
    </row>
    <row r="49" spans="7:131" x14ac:dyDescent="0.35">
      <c r="G49" s="45">
        <v>14</v>
      </c>
      <c r="H49" s="346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5">
        <v>14</v>
      </c>
      <c r="BR49" s="45">
        <v>14</v>
      </c>
      <c r="BS49" s="346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5">
        <v>14</v>
      </c>
    </row>
    <row r="50" spans="7:131" x14ac:dyDescent="0.35">
      <c r="G50" s="45">
        <v>13</v>
      </c>
      <c r="H50" s="346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5">
        <v>13</v>
      </c>
      <c r="BR50" s="45">
        <v>13</v>
      </c>
      <c r="BS50" s="346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5">
        <v>13</v>
      </c>
    </row>
    <row r="51" spans="7:131" x14ac:dyDescent="0.35">
      <c r="G51" s="45">
        <v>12</v>
      </c>
      <c r="H51" s="346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5">
        <v>12</v>
      </c>
      <c r="BR51" s="45">
        <v>12</v>
      </c>
      <c r="BS51" s="346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5">
        <v>12</v>
      </c>
    </row>
    <row r="52" spans="7:131" x14ac:dyDescent="0.35">
      <c r="G52" s="45">
        <v>11</v>
      </c>
      <c r="H52" s="346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5">
        <v>11</v>
      </c>
      <c r="BR52" s="45">
        <v>11</v>
      </c>
      <c r="BS52" s="346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5">
        <v>11</v>
      </c>
    </row>
    <row r="53" spans="7:131" x14ac:dyDescent="0.35">
      <c r="G53" s="45">
        <v>10</v>
      </c>
      <c r="H53" s="346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5">
        <v>10</v>
      </c>
      <c r="BR53" s="45">
        <v>10</v>
      </c>
      <c r="BS53" s="346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5">
        <v>10</v>
      </c>
    </row>
    <row r="54" spans="7:131" x14ac:dyDescent="0.35">
      <c r="G54" s="45">
        <v>9</v>
      </c>
      <c r="H54" s="346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5">
        <v>9</v>
      </c>
      <c r="BR54" s="45">
        <v>9</v>
      </c>
      <c r="BS54" s="346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5">
        <v>9</v>
      </c>
    </row>
    <row r="55" spans="7:131" x14ac:dyDescent="0.35">
      <c r="G55" s="45">
        <v>8</v>
      </c>
      <c r="H55" s="346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5">
        <v>8</v>
      </c>
      <c r="BR55" s="45">
        <v>8</v>
      </c>
      <c r="BS55" s="346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5">
        <v>8</v>
      </c>
    </row>
    <row r="56" spans="7:131" x14ac:dyDescent="0.35">
      <c r="G56" s="45">
        <v>7</v>
      </c>
      <c r="H56" s="346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5">
        <v>7</v>
      </c>
      <c r="BR56" s="45">
        <v>7</v>
      </c>
      <c r="BS56" s="346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5">
        <v>7</v>
      </c>
    </row>
    <row r="57" spans="7:131" x14ac:dyDescent="0.35">
      <c r="G57" s="45">
        <v>6</v>
      </c>
      <c r="H57" s="346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5">
        <v>6</v>
      </c>
      <c r="BR57" s="45">
        <v>6</v>
      </c>
      <c r="BS57" s="346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5">
        <v>6</v>
      </c>
    </row>
    <row r="58" spans="7:131" x14ac:dyDescent="0.35">
      <c r="G58" s="45">
        <v>5</v>
      </c>
      <c r="H58" s="346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5">
        <v>5</v>
      </c>
      <c r="BR58" s="45">
        <v>5</v>
      </c>
      <c r="BS58" s="346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5">
        <v>5</v>
      </c>
    </row>
    <row r="59" spans="7:131" x14ac:dyDescent="0.35">
      <c r="G59" s="45">
        <v>4</v>
      </c>
      <c r="H59" s="346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5">
        <v>4</v>
      </c>
      <c r="BR59" s="45">
        <v>4</v>
      </c>
      <c r="BS59" s="346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5">
        <v>4</v>
      </c>
    </row>
    <row r="60" spans="7:131" x14ac:dyDescent="0.35">
      <c r="G60" s="45">
        <v>3</v>
      </c>
      <c r="H60" s="346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5">
        <v>3</v>
      </c>
      <c r="BR60" s="45">
        <v>3</v>
      </c>
      <c r="BS60" s="346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5">
        <v>3</v>
      </c>
    </row>
    <row r="61" spans="7:131" x14ac:dyDescent="0.35">
      <c r="G61" s="45">
        <v>2</v>
      </c>
      <c r="H61" s="346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5">
        <v>2</v>
      </c>
      <c r="BR61" s="45">
        <v>2</v>
      </c>
      <c r="BS61" s="346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5">
        <v>2</v>
      </c>
    </row>
    <row r="62" spans="7:131" x14ac:dyDescent="0.35">
      <c r="G62" s="45">
        <v>1</v>
      </c>
      <c r="H62" s="346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5">
        <v>1</v>
      </c>
      <c r="BR62" s="45">
        <v>1</v>
      </c>
      <c r="BS62" s="346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5">
        <v>1</v>
      </c>
    </row>
    <row r="63" spans="7:131" x14ac:dyDescent="0.35">
      <c r="H63" s="438">
        <v>1</v>
      </c>
      <c r="I63" s="438">
        <v>2</v>
      </c>
      <c r="J63" s="438">
        <v>3</v>
      </c>
      <c r="K63" s="438">
        <v>4</v>
      </c>
      <c r="L63" s="438">
        <v>5</v>
      </c>
      <c r="M63" s="438">
        <v>6</v>
      </c>
      <c r="N63" s="438">
        <v>7</v>
      </c>
      <c r="O63" s="438">
        <v>8</v>
      </c>
      <c r="P63" s="438">
        <v>9</v>
      </c>
      <c r="Q63" s="438">
        <v>10</v>
      </c>
      <c r="R63" s="438">
        <v>11</v>
      </c>
      <c r="S63" s="438">
        <v>12</v>
      </c>
      <c r="T63" s="438">
        <v>13</v>
      </c>
      <c r="U63" s="438">
        <v>14</v>
      </c>
      <c r="V63" s="438">
        <v>15</v>
      </c>
      <c r="W63" s="438">
        <v>16</v>
      </c>
      <c r="X63" s="438">
        <v>17</v>
      </c>
      <c r="Y63" s="438">
        <v>18</v>
      </c>
      <c r="Z63" s="438">
        <v>19</v>
      </c>
      <c r="AA63" s="438">
        <v>20</v>
      </c>
      <c r="AB63" s="438">
        <v>21</v>
      </c>
      <c r="AC63" s="438">
        <v>22</v>
      </c>
      <c r="AD63" s="438">
        <v>23</v>
      </c>
      <c r="AE63" s="438">
        <v>24</v>
      </c>
      <c r="AF63" s="438">
        <v>25</v>
      </c>
      <c r="AG63" s="438">
        <v>26</v>
      </c>
      <c r="AH63" s="438">
        <v>27</v>
      </c>
      <c r="AI63" s="438">
        <v>28</v>
      </c>
      <c r="AJ63" s="438">
        <v>29</v>
      </c>
      <c r="AK63" s="438">
        <v>30</v>
      </c>
      <c r="AL63" s="438">
        <v>31</v>
      </c>
      <c r="AM63" s="438">
        <v>32</v>
      </c>
      <c r="AN63" s="438">
        <v>33</v>
      </c>
      <c r="AO63" s="438">
        <v>34</v>
      </c>
      <c r="AP63" s="438">
        <v>35</v>
      </c>
      <c r="AQ63" s="438">
        <v>36</v>
      </c>
      <c r="AR63" s="438">
        <v>37</v>
      </c>
      <c r="AS63" s="438">
        <v>38</v>
      </c>
      <c r="AT63" s="438">
        <v>39</v>
      </c>
      <c r="AU63" s="438">
        <v>40</v>
      </c>
      <c r="AV63" s="438">
        <v>41</v>
      </c>
      <c r="AW63" s="438">
        <v>42</v>
      </c>
      <c r="AX63" s="438">
        <v>43</v>
      </c>
      <c r="AY63" s="438">
        <v>44</v>
      </c>
      <c r="AZ63" s="438">
        <v>45</v>
      </c>
      <c r="BA63" s="438">
        <v>46</v>
      </c>
      <c r="BB63" s="438">
        <v>47</v>
      </c>
      <c r="BC63" s="438">
        <v>48</v>
      </c>
      <c r="BD63" s="438">
        <v>49</v>
      </c>
      <c r="BE63" s="438">
        <v>50</v>
      </c>
      <c r="BF63" s="438">
        <v>51</v>
      </c>
      <c r="BG63" s="438">
        <v>52</v>
      </c>
      <c r="BH63" s="438">
        <v>53</v>
      </c>
      <c r="BI63" s="438">
        <v>54</v>
      </c>
      <c r="BJ63" s="438">
        <v>55</v>
      </c>
      <c r="BK63" s="438">
        <v>56</v>
      </c>
      <c r="BL63" s="438">
        <v>57</v>
      </c>
      <c r="BM63" s="438">
        <v>58</v>
      </c>
      <c r="BN63" s="438">
        <v>59</v>
      </c>
      <c r="BO63" s="438">
        <v>60</v>
      </c>
      <c r="BP63" s="345"/>
      <c r="BQ63" s="345"/>
      <c r="BS63" s="438">
        <v>1</v>
      </c>
      <c r="BT63" s="438">
        <v>2</v>
      </c>
      <c r="BU63" s="438">
        <v>3</v>
      </c>
      <c r="BV63" s="438">
        <v>4</v>
      </c>
      <c r="BW63" s="438">
        <v>5</v>
      </c>
      <c r="BX63" s="438">
        <v>6</v>
      </c>
      <c r="BY63" s="438">
        <v>7</v>
      </c>
      <c r="BZ63" s="438">
        <v>8</v>
      </c>
      <c r="CA63" s="438">
        <v>9</v>
      </c>
      <c r="CB63" s="438">
        <v>10</v>
      </c>
      <c r="CC63" s="438">
        <v>11</v>
      </c>
      <c r="CD63" s="438">
        <v>12</v>
      </c>
      <c r="CE63" s="438">
        <v>13</v>
      </c>
      <c r="CF63" s="438">
        <v>14</v>
      </c>
      <c r="CG63" s="438">
        <v>15</v>
      </c>
      <c r="CH63" s="438">
        <v>16</v>
      </c>
      <c r="CI63" s="438">
        <v>17</v>
      </c>
      <c r="CJ63" s="438">
        <v>18</v>
      </c>
      <c r="CK63" s="438">
        <v>19</v>
      </c>
      <c r="CL63" s="438">
        <v>20</v>
      </c>
      <c r="CM63" s="438">
        <v>21</v>
      </c>
      <c r="CN63" s="438">
        <v>22</v>
      </c>
      <c r="CO63" s="438">
        <v>23</v>
      </c>
      <c r="CP63" s="438">
        <v>24</v>
      </c>
      <c r="CQ63" s="438">
        <v>25</v>
      </c>
      <c r="CR63" s="438">
        <v>26</v>
      </c>
      <c r="CS63" s="438">
        <v>27</v>
      </c>
      <c r="CT63" s="438">
        <v>28</v>
      </c>
      <c r="CU63" s="438">
        <v>29</v>
      </c>
      <c r="CV63" s="438">
        <v>30</v>
      </c>
      <c r="CW63" s="438">
        <v>31</v>
      </c>
      <c r="CX63" s="438">
        <v>32</v>
      </c>
      <c r="CY63" s="438">
        <v>33</v>
      </c>
      <c r="CZ63" s="438">
        <v>34</v>
      </c>
      <c r="DA63" s="438">
        <v>35</v>
      </c>
      <c r="DB63" s="438">
        <v>36</v>
      </c>
      <c r="DC63" s="438">
        <v>37</v>
      </c>
      <c r="DD63" s="438">
        <v>38</v>
      </c>
      <c r="DE63" s="438">
        <v>39</v>
      </c>
      <c r="DF63" s="438">
        <v>40</v>
      </c>
      <c r="DG63" s="438">
        <v>41</v>
      </c>
      <c r="DH63" s="438">
        <v>42</v>
      </c>
      <c r="DI63" s="438">
        <v>43</v>
      </c>
      <c r="DJ63" s="438">
        <v>44</v>
      </c>
      <c r="DK63" s="438">
        <v>45</v>
      </c>
      <c r="DL63" s="438">
        <v>46</v>
      </c>
      <c r="DM63" s="438">
        <v>47</v>
      </c>
      <c r="DN63" s="438">
        <v>48</v>
      </c>
      <c r="DO63" s="438">
        <v>49</v>
      </c>
      <c r="DP63" s="438">
        <v>50</v>
      </c>
      <c r="DQ63" s="438">
        <v>51</v>
      </c>
      <c r="DR63" s="438">
        <v>52</v>
      </c>
      <c r="DS63" s="438">
        <v>53</v>
      </c>
      <c r="DT63" s="438">
        <v>54</v>
      </c>
      <c r="DU63" s="438">
        <v>55</v>
      </c>
      <c r="DV63" s="438">
        <v>56</v>
      </c>
      <c r="DW63" s="438">
        <v>57</v>
      </c>
      <c r="DX63" s="438">
        <v>58</v>
      </c>
      <c r="DY63" s="438">
        <v>59</v>
      </c>
      <c r="DZ63" s="438">
        <v>60</v>
      </c>
      <c r="EA63" s="345"/>
    </row>
    <row r="64" spans="7:131" x14ac:dyDescent="0.35">
      <c r="H64" s="42" t="s">
        <v>145</v>
      </c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S64" s="42" t="s">
        <v>145</v>
      </c>
    </row>
    <row r="65" spans="8:71" x14ac:dyDescent="0.35">
      <c r="H65" s="42" t="s">
        <v>204</v>
      </c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1"/>
      <c r="BQ65" s="41"/>
      <c r="BR65" s="41"/>
      <c r="BS65" s="42" t="s">
        <v>205</v>
      </c>
    </row>
  </sheetData>
  <mergeCells count="7">
    <mergeCell ref="F20:F26"/>
    <mergeCell ref="EB20:EB26"/>
    <mergeCell ref="B4:EB4"/>
    <mergeCell ref="E9:E10"/>
    <mergeCell ref="D10:D11"/>
    <mergeCell ref="B15:C15"/>
    <mergeCell ref="G15:W1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6BA1A-177F-4D1F-BAEC-25B7AFC3A5C8}">
  <dimension ref="A1:EI83"/>
  <sheetViews>
    <sheetView topLeftCell="A3" zoomScale="70" zoomScaleNormal="70" workbookViewId="0">
      <selection activeCell="B4" sqref="B4:EB4"/>
    </sheetView>
  </sheetViews>
  <sheetFormatPr baseColWidth="10" defaultRowHeight="14.5" x14ac:dyDescent="0.35"/>
  <cols>
    <col min="1" max="1" width="0.6328125" customWidth="1"/>
    <col min="2" max="2" width="15.36328125" customWidth="1"/>
    <col min="4" max="5" width="10.54296875" customWidth="1"/>
    <col min="6" max="6" width="5.81640625" customWidth="1"/>
    <col min="7" max="7" width="5.1796875" customWidth="1"/>
    <col min="8" max="67" width="1.6328125" customWidth="1"/>
    <col min="68" max="68" width="4.36328125" customWidth="1"/>
    <col min="69" max="69" width="4.81640625" customWidth="1"/>
    <col min="70" max="70" width="5.453125" customWidth="1"/>
    <col min="71" max="130" width="1.6328125" customWidth="1"/>
    <col min="131" max="131" width="5.1796875" style="20" customWidth="1"/>
    <col min="132" max="132" width="3.7265625" style="20" customWidth="1"/>
    <col min="133" max="133" width="1.1796875" style="20" customWidth="1"/>
    <col min="134" max="139" width="3.7265625" style="20" customWidth="1"/>
    <col min="147" max="147" width="2.54296875" customWidth="1"/>
  </cols>
  <sheetData>
    <row r="1" spans="1:137" hidden="1" x14ac:dyDescent="0.35">
      <c r="B1" s="19" t="str">
        <f>C8</f>
        <v>meses</v>
      </c>
      <c r="C1" s="19" t="s">
        <v>4</v>
      </c>
      <c r="D1" s="19" t="s">
        <v>5</v>
      </c>
      <c r="E1" s="19" t="s">
        <v>6</v>
      </c>
      <c r="F1" s="19"/>
      <c r="G1" s="19"/>
      <c r="EA1"/>
      <c r="EB1"/>
      <c r="EC1"/>
      <c r="ED1"/>
      <c r="EE1"/>
    </row>
    <row r="2" spans="1:137" hidden="1" x14ac:dyDescent="0.35">
      <c r="B2" s="19" t="s">
        <v>7</v>
      </c>
      <c r="C2" s="19" t="s">
        <v>8</v>
      </c>
      <c r="D2" s="19" t="s">
        <v>9</v>
      </c>
      <c r="E2" s="19" t="s">
        <v>10</v>
      </c>
      <c r="F2" s="19" t="str">
        <f>CONCATENATE(C2," ",C6," ",D2," ",C12," ",C8)</f>
        <v>puede representarse llegando los 61 pacientes, a los 60 meses</v>
      </c>
      <c r="G2" s="19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EA2"/>
      <c r="EB2"/>
      <c r="EC2"/>
      <c r="ED2"/>
      <c r="EE2"/>
    </row>
    <row r="3" spans="1:137" ht="5" customHeight="1" thickBot="1" x14ac:dyDescent="0.4">
      <c r="A3" s="450"/>
      <c r="B3" s="450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451"/>
      <c r="AG3" s="451"/>
      <c r="AH3" s="451"/>
      <c r="AI3" s="451"/>
      <c r="AJ3" s="451"/>
      <c r="AK3" s="451"/>
      <c r="AL3" s="451"/>
      <c r="AM3" s="451"/>
      <c r="AN3" s="451"/>
      <c r="AO3" s="451"/>
      <c r="AP3" s="451"/>
      <c r="AQ3" s="451"/>
      <c r="AR3" s="451"/>
      <c r="AS3" s="451"/>
      <c r="AT3" s="451"/>
      <c r="AU3" s="451"/>
      <c r="AV3" s="451"/>
      <c r="AW3" s="451"/>
      <c r="AX3" s="451"/>
      <c r="AY3" s="451"/>
      <c r="AZ3" s="451"/>
      <c r="BA3" s="451"/>
      <c r="BB3" s="451"/>
      <c r="BC3" s="451"/>
      <c r="BD3" s="451"/>
      <c r="BE3" s="451"/>
      <c r="BF3" s="451"/>
      <c r="BG3" s="451"/>
      <c r="BH3" s="451"/>
      <c r="BI3" s="451"/>
      <c r="BJ3" s="451"/>
      <c r="BK3" s="451"/>
      <c r="BL3" s="451"/>
      <c r="BM3" s="451"/>
      <c r="BN3" s="451"/>
      <c r="BO3" s="451"/>
      <c r="BP3" s="451"/>
      <c r="BQ3" s="451"/>
      <c r="BR3" s="451"/>
      <c r="BS3" s="451"/>
      <c r="BT3" s="451"/>
      <c r="BU3" s="451"/>
      <c r="BV3" s="451"/>
      <c r="BW3" s="451"/>
      <c r="BX3" s="451"/>
      <c r="BY3" s="451"/>
      <c r="BZ3" s="451"/>
      <c r="CA3" s="451"/>
      <c r="CB3" s="451"/>
      <c r="CC3" s="451"/>
      <c r="CD3" s="451"/>
      <c r="CE3" s="451"/>
      <c r="CF3" s="451"/>
      <c r="CG3" s="451"/>
      <c r="CH3" s="451"/>
      <c r="CI3" s="451"/>
      <c r="CJ3" s="451"/>
      <c r="CK3" s="451"/>
      <c r="CL3" s="451"/>
      <c r="CM3" s="451"/>
      <c r="CN3" s="451"/>
      <c r="CO3" s="451"/>
      <c r="CP3" s="451"/>
      <c r="CQ3" s="451"/>
      <c r="CR3" s="451"/>
      <c r="CS3" s="451"/>
      <c r="CT3" s="451"/>
      <c r="CU3" s="451"/>
      <c r="CV3" s="451"/>
      <c r="CW3" s="451"/>
      <c r="CX3" s="451"/>
      <c r="CY3" s="451"/>
      <c r="CZ3" s="451"/>
      <c r="DA3" s="451"/>
      <c r="DB3" s="451"/>
      <c r="DC3" s="451"/>
      <c r="DD3" s="451"/>
      <c r="DE3" s="451"/>
      <c r="DF3" s="451"/>
      <c r="DG3" s="451"/>
      <c r="DH3" s="451"/>
      <c r="DI3" s="451"/>
      <c r="DJ3" s="451"/>
      <c r="DK3" s="451"/>
      <c r="DL3" s="451"/>
      <c r="DM3" s="451"/>
      <c r="DN3" s="451"/>
      <c r="DO3" s="451"/>
      <c r="DP3" s="451"/>
      <c r="DQ3" s="451"/>
      <c r="DR3" s="451"/>
      <c r="DS3" s="451"/>
      <c r="DT3" s="451"/>
      <c r="DU3" s="451"/>
      <c r="DV3" s="451"/>
      <c r="DW3" s="451"/>
      <c r="DX3" s="451"/>
      <c r="DY3" s="451"/>
      <c r="DZ3" s="451"/>
      <c r="EA3" s="451"/>
      <c r="EB3" s="451"/>
      <c r="EC3" s="450"/>
      <c r="ED3"/>
      <c r="EE3"/>
    </row>
    <row r="4" spans="1:137" ht="51.5" customHeight="1" thickBot="1" x14ac:dyDescent="0.4">
      <c r="A4" s="450"/>
      <c r="B4" s="572" t="s">
        <v>260</v>
      </c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573"/>
      <c r="U4" s="573"/>
      <c r="V4" s="573"/>
      <c r="W4" s="573"/>
      <c r="X4" s="573"/>
      <c r="Y4" s="573"/>
      <c r="Z4" s="573"/>
      <c r="AA4" s="573"/>
      <c r="AB4" s="573"/>
      <c r="AC4" s="573"/>
      <c r="AD4" s="573"/>
      <c r="AE4" s="573"/>
      <c r="AF4" s="573"/>
      <c r="AG4" s="573"/>
      <c r="AH4" s="573"/>
      <c r="AI4" s="573"/>
      <c r="AJ4" s="573"/>
      <c r="AK4" s="573"/>
      <c r="AL4" s="573"/>
      <c r="AM4" s="573"/>
      <c r="AN4" s="573"/>
      <c r="AO4" s="573"/>
      <c r="AP4" s="573"/>
      <c r="AQ4" s="573"/>
      <c r="AR4" s="573"/>
      <c r="AS4" s="573"/>
      <c r="AT4" s="573"/>
      <c r="AU4" s="573"/>
      <c r="AV4" s="573"/>
      <c r="AW4" s="573"/>
      <c r="AX4" s="573"/>
      <c r="AY4" s="573"/>
      <c r="AZ4" s="573"/>
      <c r="BA4" s="573"/>
      <c r="BB4" s="573"/>
      <c r="BC4" s="573"/>
      <c r="BD4" s="573"/>
      <c r="BE4" s="573"/>
      <c r="BF4" s="573"/>
      <c r="BG4" s="573"/>
      <c r="BH4" s="573"/>
      <c r="BI4" s="573"/>
      <c r="BJ4" s="573"/>
      <c r="BK4" s="573"/>
      <c r="BL4" s="573"/>
      <c r="BM4" s="573"/>
      <c r="BN4" s="573"/>
      <c r="BO4" s="573"/>
      <c r="BP4" s="573"/>
      <c r="BQ4" s="573"/>
      <c r="BR4" s="573"/>
      <c r="BS4" s="573"/>
      <c r="BT4" s="573"/>
      <c r="BU4" s="573"/>
      <c r="BV4" s="573"/>
      <c r="BW4" s="573"/>
      <c r="BX4" s="573"/>
      <c r="BY4" s="573"/>
      <c r="BZ4" s="573"/>
      <c r="CA4" s="573"/>
      <c r="CB4" s="573"/>
      <c r="CC4" s="573"/>
      <c r="CD4" s="573"/>
      <c r="CE4" s="573"/>
      <c r="CF4" s="573"/>
      <c r="CG4" s="573"/>
      <c r="CH4" s="573"/>
      <c r="CI4" s="573"/>
      <c r="CJ4" s="573"/>
      <c r="CK4" s="573"/>
      <c r="CL4" s="573"/>
      <c r="CM4" s="573"/>
      <c r="CN4" s="573"/>
      <c r="CO4" s="573"/>
      <c r="CP4" s="573"/>
      <c r="CQ4" s="573"/>
      <c r="CR4" s="573"/>
      <c r="CS4" s="573"/>
      <c r="CT4" s="573"/>
      <c r="CU4" s="573"/>
      <c r="CV4" s="573"/>
      <c r="CW4" s="573"/>
      <c r="CX4" s="573"/>
      <c r="CY4" s="573"/>
      <c r="CZ4" s="573"/>
      <c r="DA4" s="573"/>
      <c r="DB4" s="573"/>
      <c r="DC4" s="573"/>
      <c r="DD4" s="573"/>
      <c r="DE4" s="573"/>
      <c r="DF4" s="573"/>
      <c r="DG4" s="573"/>
      <c r="DH4" s="573"/>
      <c r="DI4" s="573"/>
      <c r="DJ4" s="573"/>
      <c r="DK4" s="573"/>
      <c r="DL4" s="573"/>
      <c r="DM4" s="573"/>
      <c r="DN4" s="573"/>
      <c r="DO4" s="573"/>
      <c r="DP4" s="573"/>
      <c r="DQ4" s="573"/>
      <c r="DR4" s="573"/>
      <c r="DS4" s="573"/>
      <c r="DT4" s="573"/>
      <c r="DU4" s="573"/>
      <c r="DV4" s="573"/>
      <c r="DW4" s="573"/>
      <c r="DX4" s="573"/>
      <c r="DY4" s="573"/>
      <c r="DZ4" s="573"/>
      <c r="EA4" s="573"/>
      <c r="EB4" s="574"/>
      <c r="EC4" s="450"/>
      <c r="ED4"/>
      <c r="EE4"/>
    </row>
    <row r="5" spans="1:137" ht="6.5" customHeight="1" x14ac:dyDescent="0.35">
      <c r="A5" s="450"/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452"/>
      <c r="AJ5" s="452"/>
      <c r="AK5" s="452"/>
      <c r="AL5" s="452"/>
      <c r="AM5" s="452"/>
      <c r="AN5" s="452"/>
      <c r="AO5" s="452"/>
      <c r="AP5" s="452"/>
      <c r="AQ5" s="452"/>
      <c r="AR5" s="452"/>
      <c r="AS5" s="452"/>
      <c r="AT5" s="452"/>
      <c r="AU5" s="452"/>
      <c r="AV5" s="452"/>
      <c r="AW5" s="452"/>
      <c r="AX5" s="452"/>
      <c r="AY5" s="452"/>
      <c r="AZ5" s="452"/>
      <c r="BA5" s="452"/>
      <c r="BB5" s="452"/>
      <c r="BC5" s="452"/>
      <c r="BD5" s="452"/>
      <c r="BE5" s="452"/>
      <c r="BF5" s="452"/>
      <c r="BG5" s="452"/>
      <c r="BH5" s="452"/>
      <c r="BI5" s="452"/>
      <c r="BJ5" s="452"/>
      <c r="BK5" s="452"/>
      <c r="BL5" s="452"/>
      <c r="BM5" s="452"/>
      <c r="BN5" s="452"/>
      <c r="BO5" s="452"/>
      <c r="BP5" s="452"/>
      <c r="BQ5" s="452"/>
      <c r="BR5" s="452"/>
      <c r="BS5" s="452"/>
      <c r="BT5" s="452"/>
      <c r="BU5" s="452"/>
      <c r="BV5" s="452"/>
      <c r="BW5" s="452"/>
      <c r="BX5" s="452"/>
      <c r="BY5" s="452"/>
      <c r="BZ5" s="452"/>
      <c r="CA5" s="452"/>
      <c r="CB5" s="452"/>
      <c r="CC5" s="452"/>
      <c r="CD5" s="452"/>
      <c r="CE5" s="452"/>
      <c r="CF5" s="452"/>
      <c r="CG5" s="452"/>
      <c r="CH5" s="452"/>
      <c r="CI5" s="452"/>
      <c r="CJ5" s="452"/>
      <c r="CK5" s="452"/>
      <c r="CL5" s="452"/>
      <c r="CM5" s="452"/>
      <c r="CN5" s="452"/>
      <c r="CO5" s="452"/>
      <c r="CP5" s="452"/>
      <c r="CQ5" s="452"/>
      <c r="CR5" s="452"/>
      <c r="CS5" s="452"/>
      <c r="CT5" s="452"/>
      <c r="CU5" s="452"/>
      <c r="CV5" s="452"/>
      <c r="CW5" s="452"/>
      <c r="CX5" s="452"/>
      <c r="CY5" s="452"/>
      <c r="CZ5" s="452"/>
      <c r="DA5" s="452"/>
      <c r="DB5" s="452"/>
      <c r="DC5" s="452"/>
      <c r="DD5" s="452"/>
      <c r="DE5" s="452"/>
      <c r="DF5" s="452"/>
      <c r="DG5" s="452"/>
      <c r="DH5" s="452"/>
      <c r="DI5" s="452"/>
      <c r="DJ5" s="452"/>
      <c r="DK5" s="452"/>
      <c r="DL5" s="452"/>
      <c r="DM5" s="452"/>
      <c r="DN5" s="452"/>
      <c r="DO5" s="452"/>
      <c r="DP5" s="452"/>
      <c r="DQ5" s="452"/>
      <c r="DR5" s="452"/>
      <c r="DS5" s="452"/>
      <c r="DT5" s="452"/>
      <c r="DU5" s="452"/>
      <c r="DV5" s="452"/>
      <c r="DW5" s="452"/>
      <c r="DX5" s="452"/>
      <c r="DY5" s="452"/>
      <c r="DZ5" s="452"/>
      <c r="EA5" s="452"/>
      <c r="EB5" s="452"/>
      <c r="EC5" s="450"/>
      <c r="ED5"/>
      <c r="EE5"/>
    </row>
    <row r="6" spans="1:137" ht="31.5" customHeight="1" x14ac:dyDescent="0.35">
      <c r="B6" s="343" t="s">
        <v>139</v>
      </c>
      <c r="C6" s="23">
        <f>D6+E6+F6</f>
        <v>61</v>
      </c>
      <c r="D6" s="480">
        <v>2</v>
      </c>
      <c r="E6" s="481">
        <v>1</v>
      </c>
      <c r="F6" s="482">
        <v>58</v>
      </c>
      <c r="H6" s="22"/>
      <c r="I6" s="374" t="s">
        <v>305</v>
      </c>
      <c r="J6" s="22"/>
      <c r="K6" s="337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EA6"/>
      <c r="EB6"/>
      <c r="EC6"/>
      <c r="ED6"/>
      <c r="EE6"/>
    </row>
    <row r="7" spans="1:137" ht="15" customHeight="1" x14ac:dyDescent="0.35">
      <c r="B7" s="22"/>
      <c r="C7" s="399">
        <f>D9/D6</f>
        <v>31.711749788672865</v>
      </c>
      <c r="D7" s="400">
        <f>D6*31</f>
        <v>62</v>
      </c>
      <c r="E7" s="401">
        <f>E9/(D6+E6)</f>
        <v>31.191423960654731</v>
      </c>
      <c r="F7" s="402">
        <f>(D6+E6)*15</f>
        <v>45</v>
      </c>
      <c r="G7" s="22"/>
      <c r="H7" s="22"/>
      <c r="I7" s="375" t="s">
        <v>153</v>
      </c>
      <c r="J7" s="22"/>
      <c r="K7" s="336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EA7"/>
      <c r="EB7"/>
      <c r="EC7"/>
      <c r="ED7"/>
      <c r="EE7"/>
    </row>
    <row r="8" spans="1:137" ht="39.75" customHeight="1" x14ac:dyDescent="0.35">
      <c r="B8" s="344" t="s">
        <v>138</v>
      </c>
      <c r="C8" s="26" t="s">
        <v>134</v>
      </c>
      <c r="D8" s="27" t="str">
        <f>CONCATENATE(B1," ",C1," ",C6," ",D1)</f>
        <v>meses de los 61 del grupo Interv</v>
      </c>
      <c r="E8" s="27" t="str">
        <f>CONCATENATE(B1," ",C1," ",C6," ",E1)</f>
        <v>meses de los 61 del grupo Contr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EA8"/>
      <c r="EB8"/>
      <c r="EC8"/>
      <c r="ED8"/>
      <c r="EE8"/>
    </row>
    <row r="9" spans="1:137" ht="21" customHeight="1" x14ac:dyDescent="0.35">
      <c r="B9" s="405" t="s">
        <v>1</v>
      </c>
      <c r="C9" s="28">
        <v>1.0397295012679628</v>
      </c>
      <c r="D9" s="372">
        <f>C9*C6</f>
        <v>63.42349957734573</v>
      </c>
      <c r="E9" s="575">
        <f>(C9+C10)*C6</f>
        <v>93.574271881964194</v>
      </c>
      <c r="F9" s="29"/>
      <c r="G9" s="29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22"/>
      <c r="BQ9" s="22"/>
      <c r="BR9" s="22"/>
      <c r="EA9"/>
      <c r="EB9"/>
      <c r="EC9"/>
      <c r="ED9"/>
      <c r="EE9"/>
    </row>
    <row r="10" spans="1:137" ht="26" x14ac:dyDescent="0.35">
      <c r="B10" s="406" t="s">
        <v>3</v>
      </c>
      <c r="C10" s="31">
        <v>0.4942749558134174</v>
      </c>
      <c r="D10" s="576">
        <f>(C11+C10)*C6</f>
        <v>3596.5765004226541</v>
      </c>
      <c r="E10" s="575"/>
      <c r="F10" s="25"/>
      <c r="G10" s="401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22"/>
      <c r="BQ10" s="22"/>
      <c r="BR10" s="22"/>
      <c r="EA10"/>
      <c r="EB10"/>
      <c r="EC10"/>
      <c r="ED10"/>
      <c r="EE10"/>
    </row>
    <row r="11" spans="1:137" ht="26" x14ac:dyDescent="0.35">
      <c r="B11" s="407" t="s">
        <v>2</v>
      </c>
      <c r="C11" s="33">
        <v>58.46599554291862</v>
      </c>
      <c r="D11" s="576"/>
      <c r="E11" s="34">
        <f>C11*C6</f>
        <v>3566.4257281180357</v>
      </c>
      <c r="F11" s="24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</row>
    <row r="12" spans="1:137" x14ac:dyDescent="0.35">
      <c r="B12" s="2"/>
      <c r="C12" s="35">
        <v>60</v>
      </c>
      <c r="D12" s="36">
        <f>D9+D10</f>
        <v>3660</v>
      </c>
      <c r="E12" s="36">
        <f>E9+E11</f>
        <v>3660</v>
      </c>
      <c r="F12" s="37"/>
      <c r="G12" s="37"/>
      <c r="H12" s="373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</row>
    <row r="13" spans="1:137" ht="9" customHeight="1" x14ac:dyDescent="0.35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</row>
    <row r="14" spans="1:137" x14ac:dyDescent="0.35">
      <c r="B14" s="22"/>
      <c r="C14" s="22"/>
      <c r="D14" s="18">
        <f>(F6+E6)*C12</f>
        <v>3540</v>
      </c>
      <c r="E14" s="18">
        <f>F6*C12</f>
        <v>3480</v>
      </c>
      <c r="F14" s="22"/>
      <c r="G14" s="38" t="s">
        <v>12</v>
      </c>
      <c r="H14" s="22"/>
      <c r="I14" s="22"/>
      <c r="J14" s="22"/>
      <c r="K14" s="22"/>
      <c r="L14" s="22"/>
      <c r="M14" s="22"/>
      <c r="N14" s="22"/>
      <c r="O14" s="22"/>
      <c r="P14" s="22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</row>
    <row r="15" spans="1:137" ht="36" customHeight="1" x14ac:dyDescent="0.35">
      <c r="B15" s="577" t="s">
        <v>13</v>
      </c>
      <c r="C15" s="577"/>
      <c r="D15" s="39">
        <f>D10-D14</f>
        <v>56.576500422654135</v>
      </c>
      <c r="E15" s="39">
        <f>E11-E14</f>
        <v>86.42572811803575</v>
      </c>
      <c r="G15" s="578" t="str">
        <f>IF((AND(((C10+C11)/C12)&gt;((E6+F6)/C6),(C11/C12)&gt;(F6/C6))),F2,#REF!)</f>
        <v>puede representarse llegando los 61 pacientes, a los 60 meses</v>
      </c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440"/>
      <c r="Y15" s="440"/>
      <c r="Z15" s="440"/>
      <c r="AA15" s="440"/>
      <c r="AB15" s="440"/>
      <c r="AC15" s="440"/>
      <c r="AD15" s="440"/>
      <c r="AE15" s="440"/>
      <c r="AF15" s="440"/>
      <c r="AG15" s="440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</row>
    <row r="16" spans="1:137" ht="18.75" customHeight="1" x14ac:dyDescent="0.35">
      <c r="B16" s="40"/>
      <c r="C16" s="40"/>
      <c r="D16" s="40"/>
      <c r="E16" s="40"/>
      <c r="G16" s="41"/>
      <c r="H16" s="439">
        <v>60</v>
      </c>
      <c r="I16" s="439">
        <v>59</v>
      </c>
      <c r="J16" s="439">
        <v>58</v>
      </c>
      <c r="K16" s="439">
        <v>57</v>
      </c>
      <c r="L16" s="439">
        <v>56</v>
      </c>
      <c r="M16" s="439">
        <v>55</v>
      </c>
      <c r="N16" s="439">
        <v>54</v>
      </c>
      <c r="O16" s="439">
        <v>53</v>
      </c>
      <c r="P16" s="439">
        <v>52</v>
      </c>
      <c r="Q16" s="439">
        <v>51</v>
      </c>
      <c r="R16" s="439">
        <v>50</v>
      </c>
      <c r="S16" s="439">
        <v>49</v>
      </c>
      <c r="T16" s="439">
        <v>48</v>
      </c>
      <c r="U16" s="439">
        <v>47</v>
      </c>
      <c r="V16" s="439">
        <v>46</v>
      </c>
      <c r="W16" s="439">
        <v>45</v>
      </c>
      <c r="X16" s="439">
        <v>44</v>
      </c>
      <c r="Y16" s="439">
        <v>43</v>
      </c>
      <c r="Z16" s="439">
        <v>42</v>
      </c>
      <c r="AA16" s="439">
        <v>41</v>
      </c>
      <c r="AB16" s="439">
        <v>40</v>
      </c>
      <c r="AC16" s="439">
        <v>39</v>
      </c>
      <c r="AD16" s="439">
        <v>38</v>
      </c>
      <c r="AE16" s="439">
        <v>37</v>
      </c>
      <c r="AF16" s="439">
        <v>36</v>
      </c>
      <c r="AG16" s="439">
        <v>35</v>
      </c>
      <c r="AH16" s="439">
        <v>34</v>
      </c>
      <c r="AI16" s="439">
        <v>33</v>
      </c>
      <c r="AJ16" s="439">
        <v>32</v>
      </c>
      <c r="AK16" s="439">
        <v>31</v>
      </c>
      <c r="AL16" s="439">
        <v>30</v>
      </c>
      <c r="AM16" s="439">
        <v>29</v>
      </c>
      <c r="AN16" s="439">
        <v>28</v>
      </c>
      <c r="AO16" s="439">
        <v>27</v>
      </c>
      <c r="AP16" s="439">
        <v>26</v>
      </c>
      <c r="AQ16" s="439">
        <v>25</v>
      </c>
      <c r="AR16" s="439">
        <v>24</v>
      </c>
      <c r="AS16" s="439">
        <v>23</v>
      </c>
      <c r="AT16" s="439">
        <v>22</v>
      </c>
      <c r="AU16" s="439">
        <v>21</v>
      </c>
      <c r="AV16" s="439">
        <v>20</v>
      </c>
      <c r="AW16" s="439">
        <v>19</v>
      </c>
      <c r="AX16" s="439">
        <v>18</v>
      </c>
      <c r="AY16" s="439">
        <v>17</v>
      </c>
      <c r="AZ16" s="439">
        <v>16</v>
      </c>
      <c r="BA16" s="439">
        <v>15</v>
      </c>
      <c r="BB16" s="439">
        <v>14</v>
      </c>
      <c r="BC16" s="439">
        <v>13</v>
      </c>
      <c r="BD16" s="439">
        <v>12</v>
      </c>
      <c r="BE16" s="439">
        <v>11</v>
      </c>
      <c r="BF16" s="439">
        <v>10</v>
      </c>
      <c r="BG16" s="439">
        <v>9</v>
      </c>
      <c r="BH16" s="439">
        <v>8</v>
      </c>
      <c r="BI16" s="439">
        <v>7</v>
      </c>
      <c r="BJ16" s="439">
        <v>6</v>
      </c>
      <c r="BK16" s="439">
        <v>5</v>
      </c>
      <c r="BL16" s="439">
        <v>4</v>
      </c>
      <c r="BM16" s="439">
        <v>3</v>
      </c>
      <c r="BN16" s="439">
        <v>2</v>
      </c>
      <c r="BO16" s="439">
        <v>1</v>
      </c>
      <c r="BP16" s="41"/>
      <c r="BQ16" s="41"/>
      <c r="BR16" s="41"/>
      <c r="BS16" s="439">
        <v>60</v>
      </c>
      <c r="BT16" s="439">
        <v>59</v>
      </c>
      <c r="BU16" s="439">
        <v>58</v>
      </c>
      <c r="BV16" s="439">
        <v>57</v>
      </c>
      <c r="BW16" s="439">
        <v>56</v>
      </c>
      <c r="BX16" s="439">
        <v>55</v>
      </c>
      <c r="BY16" s="439">
        <v>54</v>
      </c>
      <c r="BZ16" s="439">
        <v>53</v>
      </c>
      <c r="CA16" s="439">
        <v>52</v>
      </c>
      <c r="CB16" s="439">
        <v>51</v>
      </c>
      <c r="CC16" s="439">
        <v>50</v>
      </c>
      <c r="CD16" s="439">
        <v>49</v>
      </c>
      <c r="CE16" s="439">
        <v>48</v>
      </c>
      <c r="CF16" s="439">
        <v>47</v>
      </c>
      <c r="CG16" s="439">
        <v>46</v>
      </c>
      <c r="CH16" s="439">
        <v>45</v>
      </c>
      <c r="CI16" s="439">
        <v>44</v>
      </c>
      <c r="CJ16" s="439">
        <v>43</v>
      </c>
      <c r="CK16" s="439">
        <v>42</v>
      </c>
      <c r="CL16" s="439">
        <v>41</v>
      </c>
      <c r="CM16" s="439">
        <v>40</v>
      </c>
      <c r="CN16" s="439">
        <v>39</v>
      </c>
      <c r="CO16" s="439">
        <v>38</v>
      </c>
      <c r="CP16" s="439">
        <v>37</v>
      </c>
      <c r="CQ16" s="439">
        <v>36</v>
      </c>
      <c r="CR16" s="439">
        <v>35</v>
      </c>
      <c r="CS16" s="439">
        <v>34</v>
      </c>
      <c r="CT16" s="439">
        <v>33</v>
      </c>
      <c r="CU16" s="439">
        <v>32</v>
      </c>
      <c r="CV16" s="439">
        <v>31</v>
      </c>
      <c r="CW16" s="439">
        <v>30</v>
      </c>
      <c r="CX16" s="439">
        <v>29</v>
      </c>
      <c r="CY16" s="439">
        <v>28</v>
      </c>
      <c r="CZ16" s="439">
        <v>27</v>
      </c>
      <c r="DA16" s="439">
        <v>26</v>
      </c>
      <c r="DB16" s="439">
        <v>25</v>
      </c>
      <c r="DC16" s="439">
        <v>24</v>
      </c>
      <c r="DD16" s="439">
        <v>23</v>
      </c>
      <c r="DE16" s="439">
        <v>22</v>
      </c>
      <c r="DF16" s="439">
        <v>21</v>
      </c>
      <c r="DG16" s="439">
        <v>20</v>
      </c>
      <c r="DH16" s="439">
        <v>19</v>
      </c>
      <c r="DI16" s="439">
        <v>18</v>
      </c>
      <c r="DJ16" s="439">
        <v>17</v>
      </c>
      <c r="DK16" s="439">
        <v>16</v>
      </c>
      <c r="DL16" s="439">
        <v>15</v>
      </c>
      <c r="DM16" s="439">
        <v>14</v>
      </c>
      <c r="DN16" s="439">
        <v>13</v>
      </c>
      <c r="DO16" s="439">
        <v>12</v>
      </c>
      <c r="DP16" s="439">
        <v>11</v>
      </c>
      <c r="DQ16" s="439">
        <v>10</v>
      </c>
      <c r="DR16" s="439">
        <v>9</v>
      </c>
      <c r="DS16" s="439">
        <v>8</v>
      </c>
      <c r="DT16" s="439">
        <v>7</v>
      </c>
      <c r="DU16" s="439">
        <v>6</v>
      </c>
      <c r="DV16" s="439">
        <v>5</v>
      </c>
      <c r="DW16" s="439">
        <v>4</v>
      </c>
      <c r="DX16" s="439">
        <v>3</v>
      </c>
      <c r="DY16" s="439">
        <v>2</v>
      </c>
      <c r="DZ16" s="439">
        <v>1</v>
      </c>
      <c r="EA16" s="439"/>
      <c r="EB16" s="439"/>
      <c r="EC16" s="439"/>
      <c r="ED16" s="439"/>
      <c r="EE16" s="22"/>
    </row>
    <row r="17" spans="2:139" ht="17.25" customHeight="1" x14ac:dyDescent="0.35">
      <c r="B17" s="428" t="s">
        <v>152</v>
      </c>
      <c r="C17" s="490"/>
      <c r="D17" s="490"/>
      <c r="E17" s="40"/>
      <c r="H17" s="42" t="s">
        <v>204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1"/>
      <c r="BQ17" s="41"/>
      <c r="BR17" s="41"/>
      <c r="BS17" s="42" t="s">
        <v>205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1"/>
      <c r="EB17" s="41"/>
      <c r="EC17" s="41"/>
      <c r="ED17" s="41"/>
      <c r="EE17" s="41"/>
    </row>
    <row r="18" spans="2:139" ht="15" x14ac:dyDescent="0.35">
      <c r="B18" s="93" t="s">
        <v>256</v>
      </c>
      <c r="C18" s="46"/>
      <c r="D18" s="409"/>
      <c r="E18" s="40"/>
      <c r="H18" s="42" t="s">
        <v>145</v>
      </c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S18" s="42" t="s">
        <v>145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</row>
    <row r="19" spans="2:139" ht="15" x14ac:dyDescent="0.35">
      <c r="B19" s="93" t="s">
        <v>257</v>
      </c>
      <c r="C19" s="409"/>
      <c r="D19" s="409"/>
      <c r="E19" s="40"/>
      <c r="G19" s="20"/>
      <c r="H19" s="438">
        <v>1</v>
      </c>
      <c r="I19" s="438">
        <v>2</v>
      </c>
      <c r="J19" s="438">
        <v>3</v>
      </c>
      <c r="K19" s="438">
        <v>4</v>
      </c>
      <c r="L19" s="438">
        <v>5</v>
      </c>
      <c r="M19" s="438">
        <v>6</v>
      </c>
      <c r="N19" s="438">
        <v>7</v>
      </c>
      <c r="O19" s="438">
        <v>8</v>
      </c>
      <c r="P19" s="438">
        <v>9</v>
      </c>
      <c r="Q19" s="438">
        <v>10</v>
      </c>
      <c r="R19" s="438">
        <v>11</v>
      </c>
      <c r="S19" s="438">
        <v>12</v>
      </c>
      <c r="T19" s="438">
        <v>13</v>
      </c>
      <c r="U19" s="438">
        <v>14</v>
      </c>
      <c r="V19" s="438">
        <v>15</v>
      </c>
      <c r="W19" s="438">
        <v>16</v>
      </c>
      <c r="X19" s="438">
        <v>17</v>
      </c>
      <c r="Y19" s="438">
        <v>18</v>
      </c>
      <c r="Z19" s="438">
        <v>19</v>
      </c>
      <c r="AA19" s="438">
        <v>20</v>
      </c>
      <c r="AB19" s="438">
        <v>21</v>
      </c>
      <c r="AC19" s="438">
        <v>22</v>
      </c>
      <c r="AD19" s="438">
        <v>23</v>
      </c>
      <c r="AE19" s="438">
        <v>24</v>
      </c>
      <c r="AF19" s="438">
        <v>25</v>
      </c>
      <c r="AG19" s="438">
        <v>26</v>
      </c>
      <c r="AH19" s="438">
        <v>27</v>
      </c>
      <c r="AI19" s="438">
        <v>28</v>
      </c>
      <c r="AJ19" s="438">
        <v>29</v>
      </c>
      <c r="AK19" s="438">
        <v>30</v>
      </c>
      <c r="AL19" s="438">
        <v>31</v>
      </c>
      <c r="AM19" s="438">
        <v>32</v>
      </c>
      <c r="AN19" s="438">
        <v>33</v>
      </c>
      <c r="AO19" s="438">
        <v>34</v>
      </c>
      <c r="AP19" s="438">
        <v>35</v>
      </c>
      <c r="AQ19" s="438">
        <v>36</v>
      </c>
      <c r="AR19" s="438">
        <v>37</v>
      </c>
      <c r="AS19" s="438">
        <v>38</v>
      </c>
      <c r="AT19" s="438">
        <v>39</v>
      </c>
      <c r="AU19" s="438">
        <v>40</v>
      </c>
      <c r="AV19" s="438">
        <v>41</v>
      </c>
      <c r="AW19" s="438">
        <v>42</v>
      </c>
      <c r="AX19" s="438">
        <v>43</v>
      </c>
      <c r="AY19" s="438">
        <v>44</v>
      </c>
      <c r="AZ19" s="438">
        <v>45</v>
      </c>
      <c r="BA19" s="438">
        <v>46</v>
      </c>
      <c r="BB19" s="438">
        <v>47</v>
      </c>
      <c r="BC19" s="438">
        <v>48</v>
      </c>
      <c r="BD19" s="438">
        <v>49</v>
      </c>
      <c r="BE19" s="438">
        <v>50</v>
      </c>
      <c r="BF19" s="438">
        <v>51</v>
      </c>
      <c r="BG19" s="438">
        <v>52</v>
      </c>
      <c r="BH19" s="438">
        <v>53</v>
      </c>
      <c r="BI19" s="438">
        <v>54</v>
      </c>
      <c r="BJ19" s="438">
        <v>55</v>
      </c>
      <c r="BK19" s="438">
        <v>56</v>
      </c>
      <c r="BL19" s="438">
        <v>57</v>
      </c>
      <c r="BM19" s="438">
        <v>58</v>
      </c>
      <c r="BN19" s="438">
        <v>59</v>
      </c>
      <c r="BO19" s="438">
        <v>60</v>
      </c>
      <c r="BP19" s="345"/>
      <c r="BQ19" s="345"/>
      <c r="BR19" s="20"/>
      <c r="BS19" s="438">
        <v>1</v>
      </c>
      <c r="BT19" s="438">
        <v>2</v>
      </c>
      <c r="BU19" s="438">
        <v>3</v>
      </c>
      <c r="BV19" s="438">
        <v>4</v>
      </c>
      <c r="BW19" s="438">
        <v>5</v>
      </c>
      <c r="BX19" s="438">
        <v>6</v>
      </c>
      <c r="BY19" s="438">
        <v>7</v>
      </c>
      <c r="BZ19" s="438">
        <v>8</v>
      </c>
      <c r="CA19" s="438">
        <v>9</v>
      </c>
      <c r="CB19" s="438">
        <v>10</v>
      </c>
      <c r="CC19" s="438">
        <v>11</v>
      </c>
      <c r="CD19" s="438">
        <v>12</v>
      </c>
      <c r="CE19" s="438">
        <v>13</v>
      </c>
      <c r="CF19" s="438">
        <v>14</v>
      </c>
      <c r="CG19" s="438">
        <v>15</v>
      </c>
      <c r="CH19" s="438">
        <v>16</v>
      </c>
      <c r="CI19" s="438">
        <v>17</v>
      </c>
      <c r="CJ19" s="438">
        <v>18</v>
      </c>
      <c r="CK19" s="438">
        <v>19</v>
      </c>
      <c r="CL19" s="438">
        <v>20</v>
      </c>
      <c r="CM19" s="438">
        <v>21</v>
      </c>
      <c r="CN19" s="438">
        <v>22</v>
      </c>
      <c r="CO19" s="438">
        <v>23</v>
      </c>
      <c r="CP19" s="438">
        <v>24</v>
      </c>
      <c r="CQ19" s="438">
        <v>25</v>
      </c>
      <c r="CR19" s="438">
        <v>26</v>
      </c>
      <c r="CS19" s="438">
        <v>27</v>
      </c>
      <c r="CT19" s="438">
        <v>28</v>
      </c>
      <c r="CU19" s="438">
        <v>29</v>
      </c>
      <c r="CV19" s="438">
        <v>30</v>
      </c>
      <c r="CW19" s="438">
        <v>31</v>
      </c>
      <c r="CX19" s="438">
        <v>32</v>
      </c>
      <c r="CY19" s="438">
        <v>33</v>
      </c>
      <c r="CZ19" s="438">
        <v>34</v>
      </c>
      <c r="DA19" s="438">
        <v>35</v>
      </c>
      <c r="DB19" s="438">
        <v>36</v>
      </c>
      <c r="DC19" s="438">
        <v>37</v>
      </c>
      <c r="DD19" s="438">
        <v>38</v>
      </c>
      <c r="DE19" s="438">
        <v>39</v>
      </c>
      <c r="DF19" s="438">
        <v>40</v>
      </c>
      <c r="DG19" s="438">
        <v>41</v>
      </c>
      <c r="DH19" s="438">
        <v>42</v>
      </c>
      <c r="DI19" s="438">
        <v>43</v>
      </c>
      <c r="DJ19" s="438">
        <v>44</v>
      </c>
      <c r="DK19" s="438">
        <v>45</v>
      </c>
      <c r="DL19" s="438">
        <v>46</v>
      </c>
      <c r="DM19" s="438">
        <v>47</v>
      </c>
      <c r="DN19" s="438">
        <v>48</v>
      </c>
      <c r="DO19" s="438">
        <v>49</v>
      </c>
      <c r="DP19" s="438">
        <v>50</v>
      </c>
      <c r="DQ19" s="438">
        <v>51</v>
      </c>
      <c r="DR19" s="438">
        <v>52</v>
      </c>
      <c r="DS19" s="438">
        <v>53</v>
      </c>
      <c r="DT19" s="438">
        <v>54</v>
      </c>
      <c r="DU19" s="438">
        <v>55</v>
      </c>
      <c r="DV19" s="438">
        <v>56</v>
      </c>
      <c r="DW19" s="438">
        <v>57</v>
      </c>
      <c r="DX19" s="438">
        <v>58</v>
      </c>
      <c r="DY19" s="438">
        <v>59</v>
      </c>
      <c r="DZ19" s="438">
        <v>60</v>
      </c>
      <c r="EA19" s="345"/>
      <c r="EB19"/>
    </row>
    <row r="20" spans="2:139" ht="14.5" customHeight="1" x14ac:dyDescent="0.35">
      <c r="B20" s="93"/>
      <c r="C20" s="46"/>
      <c r="D20" s="46"/>
      <c r="F20" s="579" t="s">
        <v>144</v>
      </c>
      <c r="G20" s="45">
        <v>61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03"/>
      <c r="AK20" s="403"/>
      <c r="AL20" s="403"/>
      <c r="AM20" s="403"/>
      <c r="AN20" s="403"/>
      <c r="AO20" s="403"/>
      <c r="AP20" s="403"/>
      <c r="AQ20" s="403"/>
      <c r="AR20" s="403"/>
      <c r="AS20" s="403"/>
      <c r="AT20" s="403"/>
      <c r="AU20" s="403"/>
      <c r="AV20" s="403"/>
      <c r="AW20" s="403"/>
      <c r="AX20" s="403"/>
      <c r="AY20" s="403"/>
      <c r="AZ20" s="403"/>
      <c r="BA20" s="403"/>
      <c r="BB20" s="403"/>
      <c r="BC20" s="403"/>
      <c r="BD20" s="403"/>
      <c r="BE20" s="403"/>
      <c r="BF20" s="403"/>
      <c r="BG20" s="403"/>
      <c r="BH20" s="403"/>
      <c r="BI20" s="403"/>
      <c r="BJ20" s="403"/>
      <c r="BK20" s="403"/>
      <c r="BL20" s="403"/>
      <c r="BM20" s="403"/>
      <c r="BN20" s="403"/>
      <c r="BO20" s="403"/>
      <c r="BP20" s="484">
        <v>61</v>
      </c>
      <c r="BQ20" s="20"/>
      <c r="BR20" s="45">
        <v>61</v>
      </c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03"/>
      <c r="CV20" s="403"/>
      <c r="CW20" s="403"/>
      <c r="CX20" s="403"/>
      <c r="CY20" s="403"/>
      <c r="CZ20" s="403"/>
      <c r="DA20" s="403"/>
      <c r="DB20" s="403"/>
      <c r="DC20" s="403"/>
      <c r="DD20" s="403"/>
      <c r="DE20" s="403"/>
      <c r="DF20" s="403"/>
      <c r="DG20" s="403"/>
      <c r="DH20" s="403"/>
      <c r="DI20" s="403"/>
      <c r="DJ20" s="403"/>
      <c r="DK20" s="403"/>
      <c r="DL20" s="403"/>
      <c r="DM20" s="403"/>
      <c r="DN20" s="403"/>
      <c r="DO20" s="403"/>
      <c r="DP20" s="403"/>
      <c r="DQ20" s="403"/>
      <c r="DR20" s="403"/>
      <c r="DS20" s="403"/>
      <c r="DT20" s="403"/>
      <c r="DU20" s="403"/>
      <c r="DV20" s="403"/>
      <c r="DW20" s="403"/>
      <c r="DX20" s="403"/>
      <c r="DY20" s="403"/>
      <c r="DZ20" s="403"/>
      <c r="EA20" s="484">
        <v>61</v>
      </c>
      <c r="EB20" s="579" t="s">
        <v>144</v>
      </c>
      <c r="EC20" s="43"/>
      <c r="ED20" s="43"/>
      <c r="EE20" s="43"/>
      <c r="EF20" s="43"/>
      <c r="EG20" s="43"/>
      <c r="EH20" s="43"/>
      <c r="EI20" s="43"/>
    </row>
    <row r="21" spans="2:139" ht="15" thickBot="1" x14ac:dyDescent="0.4">
      <c r="B21" s="93"/>
      <c r="C21" s="46"/>
      <c r="D21" s="46"/>
      <c r="F21" s="579"/>
      <c r="G21" s="45">
        <v>60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03"/>
      <c r="AL21" s="403"/>
      <c r="AM21" s="403"/>
      <c r="AN21" s="403"/>
      <c r="AO21" s="403"/>
      <c r="AP21" s="403"/>
      <c r="AQ21" s="403"/>
      <c r="AR21" s="403"/>
      <c r="AS21" s="403"/>
      <c r="AT21" s="403"/>
      <c r="AU21" s="403"/>
      <c r="AV21" s="403"/>
      <c r="AW21" s="403"/>
      <c r="AX21" s="403"/>
      <c r="AY21" s="403"/>
      <c r="AZ21" s="403"/>
      <c r="BA21" s="403"/>
      <c r="BB21" s="403"/>
      <c r="BC21" s="403"/>
      <c r="BD21" s="403"/>
      <c r="BE21" s="403"/>
      <c r="BF21" s="403"/>
      <c r="BG21" s="403"/>
      <c r="BH21" s="403"/>
      <c r="BI21" s="403"/>
      <c r="BJ21" s="403"/>
      <c r="BK21" s="403"/>
      <c r="BL21" s="403"/>
      <c r="BM21" s="403"/>
      <c r="BN21" s="403"/>
      <c r="BO21" s="403"/>
      <c r="BP21" s="484">
        <v>60</v>
      </c>
      <c r="BQ21" s="20"/>
      <c r="BR21" s="45">
        <v>60</v>
      </c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03"/>
      <c r="CW21" s="403"/>
      <c r="CX21" s="403"/>
      <c r="CY21" s="403"/>
      <c r="CZ21" s="403"/>
      <c r="DA21" s="403"/>
      <c r="DB21" s="403"/>
      <c r="DC21" s="403"/>
      <c r="DD21" s="403"/>
      <c r="DE21" s="403"/>
      <c r="DF21" s="403"/>
      <c r="DG21" s="403"/>
      <c r="DH21" s="403"/>
      <c r="DI21" s="403"/>
      <c r="DJ21" s="403"/>
      <c r="DK21" s="403"/>
      <c r="DL21" s="403"/>
      <c r="DM21" s="403"/>
      <c r="DN21" s="403"/>
      <c r="DO21" s="403"/>
      <c r="DP21" s="403"/>
      <c r="DQ21" s="403"/>
      <c r="DR21" s="403"/>
      <c r="DS21" s="403"/>
      <c r="DT21" s="403"/>
      <c r="DU21" s="403"/>
      <c r="DV21" s="403"/>
      <c r="DW21" s="403"/>
      <c r="DX21" s="403"/>
      <c r="DY21" s="403"/>
      <c r="DZ21" s="403"/>
      <c r="EA21" s="484">
        <v>60</v>
      </c>
      <c r="EB21" s="579"/>
      <c r="EC21" s="43"/>
      <c r="ED21" s="43"/>
      <c r="EE21" s="43"/>
      <c r="EF21" s="43"/>
      <c r="EG21" s="43"/>
      <c r="EH21" s="43"/>
      <c r="EI21" s="43"/>
    </row>
    <row r="22" spans="2:139" ht="16" thickBot="1" x14ac:dyDescent="0.4">
      <c r="F22" s="579"/>
      <c r="G22" s="387">
        <v>59</v>
      </c>
      <c r="H22" s="388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389"/>
      <c r="AB22" s="389"/>
      <c r="AC22" s="389"/>
      <c r="AD22" s="389"/>
      <c r="AE22" s="389"/>
      <c r="AF22" s="389"/>
      <c r="AG22" s="389"/>
      <c r="AH22" s="389"/>
      <c r="AI22" s="389"/>
      <c r="AJ22" s="389"/>
      <c r="AK22" s="389"/>
      <c r="AL22" s="389"/>
      <c r="AM22" s="389"/>
      <c r="AN22" s="389"/>
      <c r="AO22" s="389"/>
      <c r="AP22" s="389"/>
      <c r="AQ22" s="389"/>
      <c r="AR22" s="389"/>
      <c r="AS22" s="389"/>
      <c r="AT22" s="389"/>
      <c r="AU22" s="389"/>
      <c r="AV22" s="389"/>
      <c r="AW22" s="389"/>
      <c r="AX22" s="389"/>
      <c r="AY22" s="389"/>
      <c r="AZ22" s="389"/>
      <c r="BA22" s="389"/>
      <c r="BB22" s="389"/>
      <c r="BC22" s="389"/>
      <c r="BD22" s="389"/>
      <c r="BE22" s="389"/>
      <c r="BF22" s="389"/>
      <c r="BG22" s="389"/>
      <c r="BH22" s="389"/>
      <c r="BI22" s="389"/>
      <c r="BJ22" s="389"/>
      <c r="BK22" s="389"/>
      <c r="BL22" s="389"/>
      <c r="BM22" s="389"/>
      <c r="BN22" s="389"/>
      <c r="BO22" s="389"/>
      <c r="BP22" s="390">
        <v>59</v>
      </c>
      <c r="BR22" s="387">
        <v>59</v>
      </c>
      <c r="BS22" s="388"/>
      <c r="BT22" s="389"/>
      <c r="BU22" s="389"/>
      <c r="BV22" s="389"/>
      <c r="BW22" s="389"/>
      <c r="BX22" s="389"/>
      <c r="BY22" s="389"/>
      <c r="BZ22" s="389"/>
      <c r="CA22" s="389"/>
      <c r="CB22" s="389"/>
      <c r="CC22" s="389"/>
      <c r="CD22" s="389"/>
      <c r="CE22" s="389"/>
      <c r="CF22" s="389"/>
      <c r="CG22" s="389"/>
      <c r="CH22" s="389"/>
      <c r="CI22" s="389"/>
      <c r="CJ22" s="389"/>
      <c r="CK22" s="389"/>
      <c r="CL22" s="389"/>
      <c r="CM22" s="389"/>
      <c r="CN22" s="389"/>
      <c r="CO22" s="389"/>
      <c r="CP22" s="389"/>
      <c r="CQ22" s="389"/>
      <c r="CR22" s="389"/>
      <c r="CS22" s="389"/>
      <c r="CT22" s="389"/>
      <c r="CU22" s="389"/>
      <c r="CV22" s="408"/>
      <c r="CW22" s="408"/>
      <c r="CX22" s="408"/>
      <c r="CY22" s="408"/>
      <c r="CZ22" s="408"/>
      <c r="DA22" s="408"/>
      <c r="DB22" s="408"/>
      <c r="DC22" s="408"/>
      <c r="DD22" s="408"/>
      <c r="DE22" s="408"/>
      <c r="DF22" s="408"/>
      <c r="DG22" s="408"/>
      <c r="DH22" s="408"/>
      <c r="DI22" s="408"/>
      <c r="DJ22" s="408"/>
      <c r="DK22" s="408"/>
      <c r="DL22" s="408"/>
      <c r="DM22" s="408"/>
      <c r="DN22" s="408"/>
      <c r="DO22" s="408"/>
      <c r="DP22" s="408"/>
      <c r="DQ22" s="408"/>
      <c r="DR22" s="408"/>
      <c r="DS22" s="408"/>
      <c r="DT22" s="408"/>
      <c r="DU22" s="408"/>
      <c r="DV22" s="408"/>
      <c r="DW22" s="408"/>
      <c r="DX22" s="408"/>
      <c r="DY22" s="408"/>
      <c r="DZ22" s="408"/>
      <c r="EA22" s="486">
        <v>59</v>
      </c>
      <c r="EB22" s="579"/>
      <c r="EC22" s="43"/>
      <c r="ED22" s="43"/>
      <c r="EE22" s="43"/>
      <c r="EF22" s="43"/>
      <c r="EG22" s="43"/>
      <c r="EH22" s="43"/>
      <c r="EI22" s="43"/>
    </row>
    <row r="23" spans="2:139" x14ac:dyDescent="0.35">
      <c r="B23" s="291" t="s">
        <v>120</v>
      </c>
      <c r="C23" s="292"/>
      <c r="D23" s="292"/>
      <c r="E23" s="293"/>
      <c r="F23" s="579"/>
      <c r="G23" s="45">
        <v>58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5">
        <v>58</v>
      </c>
      <c r="BQ23" s="20"/>
      <c r="BR23" s="45">
        <v>58</v>
      </c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5">
        <v>58</v>
      </c>
      <c r="EB23" s="579"/>
      <c r="EC23" s="43"/>
      <c r="ED23" s="43"/>
      <c r="EE23" s="43"/>
      <c r="EF23" s="43"/>
      <c r="EG23" s="43"/>
      <c r="EH23" s="43"/>
      <c r="EI23" s="43"/>
    </row>
    <row r="24" spans="2:139" x14ac:dyDescent="0.35">
      <c r="B24" s="294" t="s">
        <v>116</v>
      </c>
      <c r="C24" s="295" t="s">
        <v>117</v>
      </c>
      <c r="D24" s="295" t="s">
        <v>105</v>
      </c>
      <c r="E24" s="296" t="s">
        <v>11</v>
      </c>
      <c r="F24" s="579"/>
      <c r="G24" s="45">
        <v>57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5">
        <v>57</v>
      </c>
      <c r="BQ24" s="20"/>
      <c r="BR24" s="45">
        <v>57</v>
      </c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5">
        <v>57</v>
      </c>
      <c r="EB24" s="579"/>
      <c r="EC24" s="43"/>
      <c r="ED24" s="43"/>
      <c r="EE24" s="43"/>
      <c r="EF24" s="43"/>
      <c r="EG24" s="43"/>
      <c r="EH24" s="43"/>
      <c r="EI24" s="43"/>
    </row>
    <row r="25" spans="2:139" x14ac:dyDescent="0.35">
      <c r="B25" s="297">
        <v>1.8181818181818181E-2</v>
      </c>
      <c r="C25" s="298">
        <v>3.4657650042265425E-2</v>
      </c>
      <c r="D25" s="299">
        <f>C25-B25</f>
        <v>1.6475831860447245E-2</v>
      </c>
      <c r="E25" s="300">
        <f>1/D25</f>
        <v>60.694962686567166</v>
      </c>
      <c r="F25" s="579"/>
      <c r="G25" s="45">
        <v>56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5">
        <v>56</v>
      </c>
      <c r="BQ25" s="20"/>
      <c r="BR25" s="45">
        <v>56</v>
      </c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5">
        <v>56</v>
      </c>
      <c r="EB25" s="579"/>
      <c r="EC25" s="43"/>
      <c r="ED25" s="43"/>
      <c r="EE25" s="43"/>
      <c r="EF25" s="43"/>
      <c r="EG25" s="43"/>
      <c r="EH25" s="43"/>
      <c r="EI25" s="43"/>
    </row>
    <row r="26" spans="2:139" ht="15" thickBot="1" x14ac:dyDescent="0.4">
      <c r="B26" s="380" t="s">
        <v>143</v>
      </c>
      <c r="C26" s="328">
        <f>B25*E25</f>
        <v>1.103544776119403</v>
      </c>
      <c r="D26" s="301">
        <f>D25*E25</f>
        <v>1</v>
      </c>
      <c r="E26" s="327">
        <f>(1-C25)*E25</f>
        <v>58.591417910447767</v>
      </c>
      <c r="F26" s="579"/>
      <c r="G26" s="45">
        <v>55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5">
        <v>55</v>
      </c>
      <c r="BQ26" s="20"/>
      <c r="BR26" s="45">
        <v>55</v>
      </c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5">
        <v>55</v>
      </c>
      <c r="EB26" s="579"/>
      <c r="EC26" s="43"/>
      <c r="ED26" s="43"/>
      <c r="EE26" s="43"/>
      <c r="EF26" s="43"/>
      <c r="EG26" s="43"/>
      <c r="EH26" s="43"/>
      <c r="EI26" s="43"/>
    </row>
    <row r="27" spans="2:139" x14ac:dyDescent="0.35">
      <c r="G27" s="45">
        <v>54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5">
        <v>54</v>
      </c>
      <c r="BQ27" s="20"/>
      <c r="BR27" s="45">
        <v>54</v>
      </c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5">
        <v>54</v>
      </c>
      <c r="EB27"/>
      <c r="EC27" s="43"/>
      <c r="ED27" s="43"/>
      <c r="EE27" s="43"/>
      <c r="EF27" s="43"/>
      <c r="EG27" s="43"/>
      <c r="EH27" s="43"/>
      <c r="EI27" s="43"/>
    </row>
    <row r="28" spans="2:139" x14ac:dyDescent="0.35">
      <c r="G28" s="45">
        <v>53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5">
        <v>53</v>
      </c>
      <c r="BQ28" s="46"/>
      <c r="BR28" s="45">
        <v>53</v>
      </c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5">
        <v>53</v>
      </c>
      <c r="EB28" s="43"/>
      <c r="EC28" s="43"/>
      <c r="ED28" s="43"/>
      <c r="EE28" s="43"/>
      <c r="EF28" s="43"/>
      <c r="EG28" s="43"/>
      <c r="EH28" s="43"/>
      <c r="EI28" s="43"/>
    </row>
    <row r="29" spans="2:139" x14ac:dyDescent="0.35">
      <c r="G29" s="45">
        <v>52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5">
        <v>52</v>
      </c>
      <c r="BR29" s="45">
        <v>52</v>
      </c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5">
        <v>52</v>
      </c>
    </row>
    <row r="30" spans="2:139" x14ac:dyDescent="0.35">
      <c r="G30" s="45">
        <v>51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5">
        <v>51</v>
      </c>
      <c r="BR30" s="45">
        <v>51</v>
      </c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5">
        <v>51</v>
      </c>
    </row>
    <row r="31" spans="2:139" x14ac:dyDescent="0.35">
      <c r="G31" s="45">
        <v>50</v>
      </c>
      <c r="H31" s="346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5">
        <v>50</v>
      </c>
      <c r="BR31" s="45">
        <v>50</v>
      </c>
      <c r="BS31" s="346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5">
        <v>50</v>
      </c>
    </row>
    <row r="32" spans="2:139" x14ac:dyDescent="0.35">
      <c r="G32" s="45">
        <v>49</v>
      </c>
      <c r="H32" s="346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5">
        <v>49</v>
      </c>
      <c r="BR32" s="45">
        <v>49</v>
      </c>
      <c r="BS32" s="346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5">
        <v>49</v>
      </c>
    </row>
    <row r="33" spans="7:131" x14ac:dyDescent="0.35">
      <c r="G33" s="45">
        <v>48</v>
      </c>
      <c r="H33" s="346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5">
        <v>48</v>
      </c>
      <c r="BR33" s="45">
        <v>48</v>
      </c>
      <c r="BS33" s="346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5">
        <v>48</v>
      </c>
    </row>
    <row r="34" spans="7:131" x14ac:dyDescent="0.35">
      <c r="G34" s="45">
        <v>47</v>
      </c>
      <c r="H34" s="346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5">
        <v>47</v>
      </c>
      <c r="BR34" s="45">
        <v>47</v>
      </c>
      <c r="BS34" s="346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5">
        <v>47</v>
      </c>
    </row>
    <row r="35" spans="7:131" x14ac:dyDescent="0.35">
      <c r="G35" s="45">
        <v>46</v>
      </c>
      <c r="H35" s="346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5">
        <v>46</v>
      </c>
      <c r="BR35" s="45">
        <v>46</v>
      </c>
      <c r="BS35" s="346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5">
        <v>46</v>
      </c>
    </row>
    <row r="36" spans="7:131" x14ac:dyDescent="0.35">
      <c r="G36" s="45">
        <v>45</v>
      </c>
      <c r="H36" s="346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5">
        <v>45</v>
      </c>
      <c r="BR36" s="45">
        <v>45</v>
      </c>
      <c r="BS36" s="346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5">
        <v>45</v>
      </c>
    </row>
    <row r="37" spans="7:131" x14ac:dyDescent="0.35">
      <c r="G37" s="45">
        <v>44</v>
      </c>
      <c r="H37" s="346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5">
        <v>44</v>
      </c>
      <c r="BR37" s="45">
        <v>44</v>
      </c>
      <c r="BS37" s="346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5">
        <v>44</v>
      </c>
    </row>
    <row r="38" spans="7:131" x14ac:dyDescent="0.35">
      <c r="G38" s="45">
        <v>43</v>
      </c>
      <c r="H38" s="346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5">
        <v>43</v>
      </c>
      <c r="BR38" s="45">
        <v>43</v>
      </c>
      <c r="BS38" s="346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5">
        <v>43</v>
      </c>
    </row>
    <row r="39" spans="7:131" x14ac:dyDescent="0.35">
      <c r="G39" s="45">
        <v>42</v>
      </c>
      <c r="H39" s="346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5">
        <v>42</v>
      </c>
      <c r="BR39" s="45">
        <v>42</v>
      </c>
      <c r="BS39" s="346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5">
        <v>42</v>
      </c>
    </row>
    <row r="40" spans="7:131" x14ac:dyDescent="0.35">
      <c r="G40" s="45">
        <v>41</v>
      </c>
      <c r="H40" s="346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5">
        <v>41</v>
      </c>
      <c r="BR40" s="45">
        <v>41</v>
      </c>
      <c r="BS40" s="346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5">
        <v>41</v>
      </c>
    </row>
    <row r="41" spans="7:131" x14ac:dyDescent="0.35">
      <c r="G41" s="45">
        <v>40</v>
      </c>
      <c r="H41" s="346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5">
        <v>40</v>
      </c>
      <c r="BR41" s="45">
        <v>40</v>
      </c>
      <c r="BS41" s="346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5">
        <v>40</v>
      </c>
    </row>
    <row r="42" spans="7:131" x14ac:dyDescent="0.35">
      <c r="G42" s="45">
        <v>39</v>
      </c>
      <c r="H42" s="346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5">
        <v>39</v>
      </c>
      <c r="BR42" s="45">
        <v>39</v>
      </c>
      <c r="BS42" s="346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5">
        <v>39</v>
      </c>
    </row>
    <row r="43" spans="7:131" x14ac:dyDescent="0.35">
      <c r="G43" s="45">
        <v>38</v>
      </c>
      <c r="H43" s="346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5">
        <v>38</v>
      </c>
      <c r="BR43" s="45">
        <v>38</v>
      </c>
      <c r="BS43" s="346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5">
        <v>38</v>
      </c>
    </row>
    <row r="44" spans="7:131" x14ac:dyDescent="0.35">
      <c r="G44" s="45">
        <v>37</v>
      </c>
      <c r="H44" s="346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5">
        <v>37</v>
      </c>
      <c r="BR44" s="45">
        <v>37</v>
      </c>
      <c r="BS44" s="346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5">
        <v>37</v>
      </c>
    </row>
    <row r="45" spans="7:131" x14ac:dyDescent="0.35">
      <c r="G45" s="45">
        <v>36</v>
      </c>
      <c r="H45" s="346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5">
        <v>36</v>
      </c>
      <c r="BR45" s="45">
        <v>36</v>
      </c>
      <c r="BS45" s="346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5">
        <v>36</v>
      </c>
    </row>
    <row r="46" spans="7:131" x14ac:dyDescent="0.35">
      <c r="G46" s="45">
        <v>35</v>
      </c>
      <c r="H46" s="346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5">
        <v>35</v>
      </c>
      <c r="BR46" s="45">
        <v>35</v>
      </c>
      <c r="BS46" s="346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5">
        <v>35</v>
      </c>
    </row>
    <row r="47" spans="7:131" x14ac:dyDescent="0.35">
      <c r="G47" s="45">
        <v>34</v>
      </c>
      <c r="H47" s="346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5">
        <v>34</v>
      </c>
      <c r="BR47" s="45">
        <v>34</v>
      </c>
      <c r="BS47" s="346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5">
        <v>34</v>
      </c>
    </row>
    <row r="48" spans="7:131" x14ac:dyDescent="0.35">
      <c r="G48" s="45">
        <v>33</v>
      </c>
      <c r="H48" s="346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5">
        <v>33</v>
      </c>
      <c r="BR48" s="45">
        <v>33</v>
      </c>
      <c r="BS48" s="346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5">
        <v>33</v>
      </c>
    </row>
    <row r="49" spans="7:131" x14ac:dyDescent="0.35">
      <c r="G49" s="45">
        <v>32</v>
      </c>
      <c r="H49" s="346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5">
        <v>32</v>
      </c>
      <c r="BR49" s="45">
        <v>32</v>
      </c>
      <c r="BS49" s="346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5">
        <v>32</v>
      </c>
    </row>
    <row r="50" spans="7:131" x14ac:dyDescent="0.35">
      <c r="G50" s="45">
        <v>31</v>
      </c>
      <c r="H50" s="346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5">
        <v>31</v>
      </c>
      <c r="BR50" s="45">
        <v>31</v>
      </c>
      <c r="BS50" s="346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5">
        <v>31</v>
      </c>
    </row>
    <row r="51" spans="7:131" x14ac:dyDescent="0.35">
      <c r="G51" s="45">
        <v>30</v>
      </c>
      <c r="H51" s="346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5">
        <v>30</v>
      </c>
      <c r="BR51" s="45">
        <v>30</v>
      </c>
      <c r="BS51" s="346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5">
        <v>30</v>
      </c>
    </row>
    <row r="52" spans="7:131" x14ac:dyDescent="0.35">
      <c r="G52" s="45">
        <v>29</v>
      </c>
      <c r="H52" s="346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5">
        <v>29</v>
      </c>
      <c r="BR52" s="45">
        <v>29</v>
      </c>
      <c r="BS52" s="346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5">
        <v>29</v>
      </c>
    </row>
    <row r="53" spans="7:131" x14ac:dyDescent="0.35">
      <c r="G53" s="45">
        <v>28</v>
      </c>
      <c r="H53" s="346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5">
        <v>28</v>
      </c>
      <c r="BR53" s="45">
        <v>28</v>
      </c>
      <c r="BS53" s="346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5">
        <v>28</v>
      </c>
    </row>
    <row r="54" spans="7:131" x14ac:dyDescent="0.35">
      <c r="G54" s="45">
        <v>27</v>
      </c>
      <c r="H54" s="346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5">
        <v>27</v>
      </c>
      <c r="BR54" s="45">
        <v>27</v>
      </c>
      <c r="BS54" s="346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5">
        <v>27</v>
      </c>
    </row>
    <row r="55" spans="7:131" x14ac:dyDescent="0.35">
      <c r="G55" s="45">
        <v>26</v>
      </c>
      <c r="H55" s="346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5">
        <v>26</v>
      </c>
      <c r="BR55" s="45">
        <v>26</v>
      </c>
      <c r="BS55" s="346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5">
        <v>26</v>
      </c>
    </row>
    <row r="56" spans="7:131" x14ac:dyDescent="0.35">
      <c r="G56" s="45">
        <v>25</v>
      </c>
      <c r="H56" s="346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5">
        <v>25</v>
      </c>
      <c r="BR56" s="45">
        <v>25</v>
      </c>
      <c r="BS56" s="346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5">
        <v>25</v>
      </c>
    </row>
    <row r="57" spans="7:131" x14ac:dyDescent="0.35">
      <c r="G57" s="45">
        <v>24</v>
      </c>
      <c r="H57" s="346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5">
        <v>24</v>
      </c>
      <c r="BR57" s="45">
        <v>24</v>
      </c>
      <c r="BS57" s="346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5">
        <v>24</v>
      </c>
    </row>
    <row r="58" spans="7:131" x14ac:dyDescent="0.35">
      <c r="G58" s="45">
        <v>23</v>
      </c>
      <c r="H58" s="346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5">
        <v>23</v>
      </c>
      <c r="BR58" s="45">
        <v>23</v>
      </c>
      <c r="BS58" s="346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5">
        <v>23</v>
      </c>
    </row>
    <row r="59" spans="7:131" x14ac:dyDescent="0.35">
      <c r="G59" s="45">
        <v>22</v>
      </c>
      <c r="H59" s="346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5">
        <v>22</v>
      </c>
      <c r="BR59" s="45">
        <v>22</v>
      </c>
      <c r="BS59" s="346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5">
        <v>22</v>
      </c>
    </row>
    <row r="60" spans="7:131" x14ac:dyDescent="0.35">
      <c r="G60" s="45">
        <v>21</v>
      </c>
      <c r="H60" s="346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5">
        <v>21</v>
      </c>
      <c r="BR60" s="45">
        <v>21</v>
      </c>
      <c r="BS60" s="346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5">
        <v>21</v>
      </c>
    </row>
    <row r="61" spans="7:131" x14ac:dyDescent="0.35">
      <c r="G61" s="45">
        <v>20</v>
      </c>
      <c r="H61" s="346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5">
        <v>20</v>
      </c>
      <c r="BR61" s="45">
        <v>20</v>
      </c>
      <c r="BS61" s="346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5">
        <v>20</v>
      </c>
    </row>
    <row r="62" spans="7:131" x14ac:dyDescent="0.35">
      <c r="G62" s="45">
        <v>19</v>
      </c>
      <c r="H62" s="346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5">
        <v>19</v>
      </c>
      <c r="BQ62" s="345"/>
      <c r="BR62" s="45">
        <v>19</v>
      </c>
      <c r="BS62" s="346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5">
        <v>19</v>
      </c>
    </row>
    <row r="63" spans="7:131" x14ac:dyDescent="0.35">
      <c r="G63" s="45">
        <v>18</v>
      </c>
      <c r="H63" s="346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5">
        <v>18</v>
      </c>
      <c r="BR63" s="45">
        <v>18</v>
      </c>
      <c r="BS63" s="346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5">
        <v>18</v>
      </c>
    </row>
    <row r="64" spans="7:131" x14ac:dyDescent="0.35">
      <c r="G64" s="45">
        <v>17</v>
      </c>
      <c r="H64" s="346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5">
        <v>17</v>
      </c>
      <c r="BQ64" s="41"/>
      <c r="BR64" s="45">
        <v>17</v>
      </c>
      <c r="BS64" s="346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5">
        <v>17</v>
      </c>
    </row>
    <row r="65" spans="7:131" x14ac:dyDescent="0.35">
      <c r="G65" s="45">
        <v>16</v>
      </c>
      <c r="H65" s="346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5">
        <v>16</v>
      </c>
      <c r="BR65" s="45">
        <v>16</v>
      </c>
      <c r="BS65" s="346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5">
        <v>16</v>
      </c>
    </row>
    <row r="66" spans="7:131" x14ac:dyDescent="0.35">
      <c r="G66" s="45">
        <v>15</v>
      </c>
      <c r="H66" s="346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5">
        <v>15</v>
      </c>
      <c r="BR66" s="45">
        <v>15</v>
      </c>
      <c r="BS66" s="346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5">
        <v>15</v>
      </c>
    </row>
    <row r="67" spans="7:131" x14ac:dyDescent="0.35">
      <c r="G67" s="45">
        <v>14</v>
      </c>
      <c r="H67" s="346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5">
        <v>14</v>
      </c>
      <c r="BR67" s="45">
        <v>14</v>
      </c>
      <c r="BS67" s="346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5">
        <v>14</v>
      </c>
    </row>
    <row r="68" spans="7:131" x14ac:dyDescent="0.35">
      <c r="G68" s="45">
        <v>13</v>
      </c>
      <c r="H68" s="346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5">
        <v>13</v>
      </c>
      <c r="BR68" s="45">
        <v>13</v>
      </c>
      <c r="BS68" s="346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5">
        <v>13</v>
      </c>
    </row>
    <row r="69" spans="7:131" x14ac:dyDescent="0.35">
      <c r="G69" s="45">
        <v>12</v>
      </c>
      <c r="H69" s="346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5">
        <v>12</v>
      </c>
      <c r="BR69" s="45">
        <v>12</v>
      </c>
      <c r="BS69" s="346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5">
        <v>12</v>
      </c>
    </row>
    <row r="70" spans="7:131" x14ac:dyDescent="0.35">
      <c r="G70" s="45">
        <v>11</v>
      </c>
      <c r="H70" s="346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5">
        <v>11</v>
      </c>
      <c r="BR70" s="45">
        <v>11</v>
      </c>
      <c r="BS70" s="346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5">
        <v>11</v>
      </c>
    </row>
    <row r="71" spans="7:131" x14ac:dyDescent="0.35">
      <c r="G71" s="45">
        <v>10</v>
      </c>
      <c r="H71" s="346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5">
        <v>10</v>
      </c>
      <c r="BR71" s="45">
        <v>10</v>
      </c>
      <c r="BS71" s="346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5">
        <v>10</v>
      </c>
    </row>
    <row r="72" spans="7:131" x14ac:dyDescent="0.35">
      <c r="G72" s="45">
        <v>9</v>
      </c>
      <c r="H72" s="346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5">
        <v>9</v>
      </c>
      <c r="BR72" s="45">
        <v>9</v>
      </c>
      <c r="BS72" s="346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5">
        <v>9</v>
      </c>
    </row>
    <row r="73" spans="7:131" x14ac:dyDescent="0.35">
      <c r="G73" s="45">
        <v>8</v>
      </c>
      <c r="H73" s="346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5">
        <v>8</v>
      </c>
      <c r="BR73" s="45">
        <v>8</v>
      </c>
      <c r="BS73" s="346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5">
        <v>8</v>
      </c>
    </row>
    <row r="74" spans="7:131" x14ac:dyDescent="0.35">
      <c r="G74" s="45">
        <v>7</v>
      </c>
      <c r="H74" s="346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5">
        <v>7</v>
      </c>
      <c r="BR74" s="45">
        <v>7</v>
      </c>
      <c r="BS74" s="346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5">
        <v>7</v>
      </c>
    </row>
    <row r="75" spans="7:131" x14ac:dyDescent="0.35">
      <c r="G75" s="45">
        <v>6</v>
      </c>
      <c r="H75" s="346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5">
        <v>6</v>
      </c>
      <c r="BR75" s="45">
        <v>6</v>
      </c>
      <c r="BS75" s="346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5">
        <v>6</v>
      </c>
    </row>
    <row r="76" spans="7:131" x14ac:dyDescent="0.35">
      <c r="G76" s="45">
        <v>5</v>
      </c>
      <c r="H76" s="346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5">
        <v>5</v>
      </c>
      <c r="BR76" s="45">
        <v>5</v>
      </c>
      <c r="BS76" s="346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5">
        <v>5</v>
      </c>
    </row>
    <row r="77" spans="7:131" x14ac:dyDescent="0.35">
      <c r="G77" s="45">
        <v>4</v>
      </c>
      <c r="H77" s="346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5">
        <v>4</v>
      </c>
      <c r="BR77" s="45">
        <v>4</v>
      </c>
      <c r="BS77" s="346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5">
        <v>4</v>
      </c>
    </row>
    <row r="78" spans="7:131" x14ac:dyDescent="0.35">
      <c r="G78" s="45">
        <v>3</v>
      </c>
      <c r="H78" s="346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5">
        <v>3</v>
      </c>
      <c r="BR78" s="45">
        <v>3</v>
      </c>
      <c r="BS78" s="346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5">
        <v>3</v>
      </c>
    </row>
    <row r="79" spans="7:131" x14ac:dyDescent="0.35">
      <c r="G79" s="45">
        <v>2</v>
      </c>
      <c r="H79" s="346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5">
        <v>2</v>
      </c>
      <c r="BR79" s="45">
        <v>2</v>
      </c>
      <c r="BS79" s="346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5">
        <v>2</v>
      </c>
    </row>
    <row r="80" spans="7:131" x14ac:dyDescent="0.35">
      <c r="G80" s="45">
        <v>1</v>
      </c>
      <c r="H80" s="346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5">
        <v>1</v>
      </c>
      <c r="BR80" s="45">
        <v>1</v>
      </c>
      <c r="BS80" s="346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5">
        <v>1</v>
      </c>
    </row>
    <row r="81" spans="8:130" x14ac:dyDescent="0.35">
      <c r="H81" s="438">
        <v>1</v>
      </c>
      <c r="I81" s="438">
        <v>2</v>
      </c>
      <c r="J81" s="438">
        <v>3</v>
      </c>
      <c r="K81" s="438">
        <v>4</v>
      </c>
      <c r="L81" s="438">
        <v>5</v>
      </c>
      <c r="M81" s="438">
        <v>6</v>
      </c>
      <c r="N81" s="438">
        <v>7</v>
      </c>
      <c r="O81" s="438">
        <v>8</v>
      </c>
      <c r="P81" s="438">
        <v>9</v>
      </c>
      <c r="Q81" s="438">
        <v>10</v>
      </c>
      <c r="R81" s="438">
        <v>11</v>
      </c>
      <c r="S81" s="438">
        <v>12</v>
      </c>
      <c r="T81" s="438">
        <v>13</v>
      </c>
      <c r="U81" s="438">
        <v>14</v>
      </c>
      <c r="V81" s="438">
        <v>15</v>
      </c>
      <c r="W81" s="438">
        <v>16</v>
      </c>
      <c r="X81" s="438">
        <v>17</v>
      </c>
      <c r="Y81" s="438">
        <v>18</v>
      </c>
      <c r="Z81" s="438">
        <v>19</v>
      </c>
      <c r="AA81" s="438">
        <v>20</v>
      </c>
      <c r="AB81" s="438">
        <v>21</v>
      </c>
      <c r="AC81" s="438">
        <v>22</v>
      </c>
      <c r="AD81" s="438">
        <v>23</v>
      </c>
      <c r="AE81" s="438">
        <v>24</v>
      </c>
      <c r="AF81" s="438">
        <v>25</v>
      </c>
      <c r="AG81" s="438">
        <v>26</v>
      </c>
      <c r="AH81" s="438">
        <v>27</v>
      </c>
      <c r="AI81" s="438">
        <v>28</v>
      </c>
      <c r="AJ81" s="438">
        <v>29</v>
      </c>
      <c r="AK81" s="438">
        <v>30</v>
      </c>
      <c r="AL81" s="438">
        <v>31</v>
      </c>
      <c r="AM81" s="438">
        <v>32</v>
      </c>
      <c r="AN81" s="438">
        <v>33</v>
      </c>
      <c r="AO81" s="438">
        <v>34</v>
      </c>
      <c r="AP81" s="438">
        <v>35</v>
      </c>
      <c r="AQ81" s="438">
        <v>36</v>
      </c>
      <c r="AR81" s="438">
        <v>37</v>
      </c>
      <c r="AS81" s="438">
        <v>38</v>
      </c>
      <c r="AT81" s="438">
        <v>39</v>
      </c>
      <c r="AU81" s="438">
        <v>40</v>
      </c>
      <c r="AV81" s="438">
        <v>41</v>
      </c>
      <c r="AW81" s="438">
        <v>42</v>
      </c>
      <c r="AX81" s="438">
        <v>43</v>
      </c>
      <c r="AY81" s="438">
        <v>44</v>
      </c>
      <c r="AZ81" s="438">
        <v>45</v>
      </c>
      <c r="BA81" s="438">
        <v>46</v>
      </c>
      <c r="BB81" s="438">
        <v>47</v>
      </c>
      <c r="BC81" s="438">
        <v>48</v>
      </c>
      <c r="BD81" s="438">
        <v>49</v>
      </c>
      <c r="BE81" s="438">
        <v>50</v>
      </c>
      <c r="BF81" s="438">
        <v>51</v>
      </c>
      <c r="BG81" s="438">
        <v>52</v>
      </c>
      <c r="BH81" s="438">
        <v>53</v>
      </c>
      <c r="BI81" s="438">
        <v>54</v>
      </c>
      <c r="BJ81" s="438">
        <v>55</v>
      </c>
      <c r="BK81" s="438">
        <v>56</v>
      </c>
      <c r="BL81" s="438">
        <v>57</v>
      </c>
      <c r="BM81" s="438">
        <v>58</v>
      </c>
      <c r="BN81" s="438">
        <v>59</v>
      </c>
      <c r="BO81" s="438">
        <v>60</v>
      </c>
      <c r="BP81" s="345"/>
      <c r="BQ81" s="345"/>
      <c r="BS81" s="438">
        <v>1</v>
      </c>
      <c r="BT81" s="438">
        <v>2</v>
      </c>
      <c r="BU81" s="438">
        <v>3</v>
      </c>
      <c r="BV81" s="438">
        <v>4</v>
      </c>
      <c r="BW81" s="438">
        <v>5</v>
      </c>
      <c r="BX81" s="438">
        <v>6</v>
      </c>
      <c r="BY81" s="438">
        <v>7</v>
      </c>
      <c r="BZ81" s="438">
        <v>8</v>
      </c>
      <c r="CA81" s="438">
        <v>9</v>
      </c>
      <c r="CB81" s="438">
        <v>10</v>
      </c>
      <c r="CC81" s="438">
        <v>11</v>
      </c>
      <c r="CD81" s="438">
        <v>12</v>
      </c>
      <c r="CE81" s="438">
        <v>13</v>
      </c>
      <c r="CF81" s="438">
        <v>14</v>
      </c>
      <c r="CG81" s="438">
        <v>15</v>
      </c>
      <c r="CH81" s="438">
        <v>16</v>
      </c>
      <c r="CI81" s="438">
        <v>17</v>
      </c>
      <c r="CJ81" s="438">
        <v>18</v>
      </c>
      <c r="CK81" s="438">
        <v>19</v>
      </c>
      <c r="CL81" s="438">
        <v>20</v>
      </c>
      <c r="CM81" s="438">
        <v>21</v>
      </c>
      <c r="CN81" s="438">
        <v>22</v>
      </c>
      <c r="CO81" s="438">
        <v>23</v>
      </c>
      <c r="CP81" s="438">
        <v>24</v>
      </c>
      <c r="CQ81" s="438">
        <v>25</v>
      </c>
      <c r="CR81" s="438">
        <v>26</v>
      </c>
      <c r="CS81" s="438">
        <v>27</v>
      </c>
      <c r="CT81" s="438">
        <v>28</v>
      </c>
      <c r="CU81" s="438">
        <v>29</v>
      </c>
      <c r="CV81" s="438">
        <v>30</v>
      </c>
      <c r="CW81" s="438">
        <v>31</v>
      </c>
      <c r="CX81" s="438">
        <v>32</v>
      </c>
      <c r="CY81" s="438">
        <v>33</v>
      </c>
      <c r="CZ81" s="438">
        <v>34</v>
      </c>
      <c r="DA81" s="438">
        <v>35</v>
      </c>
      <c r="DB81" s="438">
        <v>36</v>
      </c>
      <c r="DC81" s="438">
        <v>37</v>
      </c>
      <c r="DD81" s="438">
        <v>38</v>
      </c>
      <c r="DE81" s="438">
        <v>39</v>
      </c>
      <c r="DF81" s="438">
        <v>40</v>
      </c>
      <c r="DG81" s="438">
        <v>41</v>
      </c>
      <c r="DH81" s="438">
        <v>42</v>
      </c>
      <c r="DI81" s="438">
        <v>43</v>
      </c>
      <c r="DJ81" s="438">
        <v>44</v>
      </c>
      <c r="DK81" s="438">
        <v>45</v>
      </c>
      <c r="DL81" s="438">
        <v>46</v>
      </c>
      <c r="DM81" s="438">
        <v>47</v>
      </c>
      <c r="DN81" s="438">
        <v>48</v>
      </c>
      <c r="DO81" s="438">
        <v>49</v>
      </c>
      <c r="DP81" s="438">
        <v>50</v>
      </c>
      <c r="DQ81" s="438">
        <v>51</v>
      </c>
      <c r="DR81" s="438">
        <v>52</v>
      </c>
      <c r="DS81" s="438">
        <v>53</v>
      </c>
      <c r="DT81" s="438">
        <v>54</v>
      </c>
      <c r="DU81" s="438">
        <v>55</v>
      </c>
      <c r="DV81" s="438">
        <v>56</v>
      </c>
      <c r="DW81" s="438">
        <v>57</v>
      </c>
      <c r="DX81" s="438">
        <v>58</v>
      </c>
      <c r="DY81" s="438">
        <v>59</v>
      </c>
      <c r="DZ81" s="438">
        <v>60</v>
      </c>
    </row>
    <row r="82" spans="8:130" x14ac:dyDescent="0.35">
      <c r="H82" s="42" t="s">
        <v>145</v>
      </c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S82" s="42" t="s">
        <v>145</v>
      </c>
    </row>
    <row r="83" spans="8:130" x14ac:dyDescent="0.35">
      <c r="H83" s="42" t="s">
        <v>204</v>
      </c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1"/>
      <c r="BQ83" s="41"/>
      <c r="BR83" s="41"/>
      <c r="BS83" s="42" t="s">
        <v>205</v>
      </c>
    </row>
  </sheetData>
  <mergeCells count="7">
    <mergeCell ref="F20:F26"/>
    <mergeCell ref="EB20:EB26"/>
    <mergeCell ref="B4:EB4"/>
    <mergeCell ref="E9:E10"/>
    <mergeCell ref="D10:D11"/>
    <mergeCell ref="B15:C15"/>
    <mergeCell ref="G15:W1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A6D51-C387-49A0-8C97-D18E520611D9}">
  <dimension ref="A1:EI56"/>
  <sheetViews>
    <sheetView topLeftCell="A3" zoomScale="70" zoomScaleNormal="70" workbookViewId="0">
      <selection activeCell="B4" sqref="B4:EB4"/>
    </sheetView>
  </sheetViews>
  <sheetFormatPr baseColWidth="10" defaultRowHeight="14.5" x14ac:dyDescent="0.35"/>
  <cols>
    <col min="1" max="1" width="0.6328125" customWidth="1"/>
    <col min="2" max="2" width="15.36328125" customWidth="1"/>
    <col min="4" max="5" width="10.54296875" customWidth="1"/>
    <col min="6" max="6" width="5.81640625" customWidth="1"/>
    <col min="7" max="7" width="5.1796875" customWidth="1"/>
    <col min="8" max="67" width="1.6328125" customWidth="1"/>
    <col min="68" max="68" width="4.36328125" customWidth="1"/>
    <col min="69" max="69" width="4.81640625" customWidth="1"/>
    <col min="70" max="70" width="5.453125" customWidth="1"/>
    <col min="71" max="130" width="1.6328125" customWidth="1"/>
    <col min="131" max="131" width="5.1796875" style="20" customWidth="1"/>
    <col min="132" max="132" width="3.7265625" style="20" customWidth="1"/>
    <col min="133" max="133" width="1.1796875" style="20" customWidth="1"/>
    <col min="134" max="139" width="3.7265625" style="20" customWidth="1"/>
    <col min="147" max="147" width="2.54296875" customWidth="1"/>
  </cols>
  <sheetData>
    <row r="1" spans="1:137" hidden="1" x14ac:dyDescent="0.35">
      <c r="B1" s="19" t="str">
        <f>C8</f>
        <v>meses</v>
      </c>
      <c r="C1" s="19" t="s">
        <v>4</v>
      </c>
      <c r="D1" s="19" t="s">
        <v>5</v>
      </c>
      <c r="E1" s="19" t="s">
        <v>6</v>
      </c>
      <c r="F1" s="19"/>
      <c r="G1" s="19"/>
      <c r="EA1"/>
      <c r="EB1"/>
      <c r="EC1"/>
      <c r="ED1"/>
      <c r="EE1"/>
    </row>
    <row r="2" spans="1:137" hidden="1" x14ac:dyDescent="0.35">
      <c r="B2" s="19" t="s">
        <v>7</v>
      </c>
      <c r="C2" s="19" t="s">
        <v>8</v>
      </c>
      <c r="D2" s="19" t="s">
        <v>9</v>
      </c>
      <c r="E2" s="19" t="s">
        <v>10</v>
      </c>
      <c r="F2" s="19" t="str">
        <f>CONCATENATE(C2," ",C6," ",D2," ",C12," ",C8)</f>
        <v>puede representarse llegando los 34 pacientes, a los 60 meses</v>
      </c>
      <c r="G2" s="19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EA2"/>
      <c r="EB2"/>
      <c r="EC2"/>
      <c r="ED2"/>
      <c r="EE2"/>
    </row>
    <row r="3" spans="1:137" ht="5" customHeight="1" thickBot="1" x14ac:dyDescent="0.4">
      <c r="A3" s="450"/>
      <c r="B3" s="450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451"/>
      <c r="AG3" s="451"/>
      <c r="AH3" s="451"/>
      <c r="AI3" s="451"/>
      <c r="AJ3" s="451"/>
      <c r="AK3" s="451"/>
      <c r="AL3" s="451"/>
      <c r="AM3" s="451"/>
      <c r="AN3" s="451"/>
      <c r="AO3" s="451"/>
      <c r="AP3" s="451"/>
      <c r="AQ3" s="451"/>
      <c r="AR3" s="451"/>
      <c r="AS3" s="451"/>
      <c r="AT3" s="451"/>
      <c r="AU3" s="451"/>
      <c r="AV3" s="451"/>
      <c r="AW3" s="451"/>
      <c r="AX3" s="451"/>
      <c r="AY3" s="451"/>
      <c r="AZ3" s="451"/>
      <c r="BA3" s="451"/>
      <c r="BB3" s="451"/>
      <c r="BC3" s="451"/>
      <c r="BD3" s="451"/>
      <c r="BE3" s="451"/>
      <c r="BF3" s="451"/>
      <c r="BG3" s="451"/>
      <c r="BH3" s="451"/>
      <c r="BI3" s="451"/>
      <c r="BJ3" s="451"/>
      <c r="BK3" s="451"/>
      <c r="BL3" s="451"/>
      <c r="BM3" s="451"/>
      <c r="BN3" s="451"/>
      <c r="BO3" s="451"/>
      <c r="BP3" s="451"/>
      <c r="BQ3" s="451"/>
      <c r="BR3" s="451"/>
      <c r="BS3" s="451"/>
      <c r="BT3" s="451"/>
      <c r="BU3" s="451"/>
      <c r="BV3" s="451"/>
      <c r="BW3" s="451"/>
      <c r="BX3" s="451"/>
      <c r="BY3" s="451"/>
      <c r="BZ3" s="451"/>
      <c r="CA3" s="451"/>
      <c r="CB3" s="451"/>
      <c r="CC3" s="451"/>
      <c r="CD3" s="451"/>
      <c r="CE3" s="451"/>
      <c r="CF3" s="451"/>
      <c r="CG3" s="451"/>
      <c r="CH3" s="451"/>
      <c r="CI3" s="451"/>
      <c r="CJ3" s="451"/>
      <c r="CK3" s="451"/>
      <c r="CL3" s="451"/>
      <c r="CM3" s="451"/>
      <c r="CN3" s="451"/>
      <c r="CO3" s="451"/>
      <c r="CP3" s="451"/>
      <c r="CQ3" s="451"/>
      <c r="CR3" s="451"/>
      <c r="CS3" s="451"/>
      <c r="CT3" s="451"/>
      <c r="CU3" s="451"/>
      <c r="CV3" s="451"/>
      <c r="CW3" s="451"/>
      <c r="CX3" s="451"/>
      <c r="CY3" s="451"/>
      <c r="CZ3" s="451"/>
      <c r="DA3" s="451"/>
      <c r="DB3" s="451"/>
      <c r="DC3" s="451"/>
      <c r="DD3" s="451"/>
      <c r="DE3" s="451"/>
      <c r="DF3" s="451"/>
      <c r="DG3" s="451"/>
      <c r="DH3" s="451"/>
      <c r="DI3" s="451"/>
      <c r="DJ3" s="451"/>
      <c r="DK3" s="451"/>
      <c r="DL3" s="451"/>
      <c r="DM3" s="451"/>
      <c r="DN3" s="451"/>
      <c r="DO3" s="451"/>
      <c r="DP3" s="451"/>
      <c r="DQ3" s="451"/>
      <c r="DR3" s="451"/>
      <c r="DS3" s="451"/>
      <c r="DT3" s="451"/>
      <c r="DU3" s="451"/>
      <c r="DV3" s="451"/>
      <c r="DW3" s="451"/>
      <c r="DX3" s="451"/>
      <c r="DY3" s="451"/>
      <c r="DZ3" s="451"/>
      <c r="EA3" s="451"/>
      <c r="EB3" s="451"/>
      <c r="EC3" s="450"/>
      <c r="ED3"/>
      <c r="EE3"/>
    </row>
    <row r="4" spans="1:137" ht="51.5" customHeight="1" thickBot="1" x14ac:dyDescent="0.4">
      <c r="A4" s="450"/>
      <c r="B4" s="572" t="s">
        <v>262</v>
      </c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573"/>
      <c r="U4" s="573"/>
      <c r="V4" s="573"/>
      <c r="W4" s="573"/>
      <c r="X4" s="573"/>
      <c r="Y4" s="573"/>
      <c r="Z4" s="573"/>
      <c r="AA4" s="573"/>
      <c r="AB4" s="573"/>
      <c r="AC4" s="573"/>
      <c r="AD4" s="573"/>
      <c r="AE4" s="573"/>
      <c r="AF4" s="573"/>
      <c r="AG4" s="573"/>
      <c r="AH4" s="573"/>
      <c r="AI4" s="573"/>
      <c r="AJ4" s="573"/>
      <c r="AK4" s="573"/>
      <c r="AL4" s="573"/>
      <c r="AM4" s="573"/>
      <c r="AN4" s="573"/>
      <c r="AO4" s="573"/>
      <c r="AP4" s="573"/>
      <c r="AQ4" s="573"/>
      <c r="AR4" s="573"/>
      <c r="AS4" s="573"/>
      <c r="AT4" s="573"/>
      <c r="AU4" s="573"/>
      <c r="AV4" s="573"/>
      <c r="AW4" s="573"/>
      <c r="AX4" s="573"/>
      <c r="AY4" s="573"/>
      <c r="AZ4" s="573"/>
      <c r="BA4" s="573"/>
      <c r="BB4" s="573"/>
      <c r="BC4" s="573"/>
      <c r="BD4" s="573"/>
      <c r="BE4" s="573"/>
      <c r="BF4" s="573"/>
      <c r="BG4" s="573"/>
      <c r="BH4" s="573"/>
      <c r="BI4" s="573"/>
      <c r="BJ4" s="573"/>
      <c r="BK4" s="573"/>
      <c r="BL4" s="573"/>
      <c r="BM4" s="573"/>
      <c r="BN4" s="573"/>
      <c r="BO4" s="573"/>
      <c r="BP4" s="573"/>
      <c r="BQ4" s="573"/>
      <c r="BR4" s="573"/>
      <c r="BS4" s="573"/>
      <c r="BT4" s="573"/>
      <c r="BU4" s="573"/>
      <c r="BV4" s="573"/>
      <c r="BW4" s="573"/>
      <c r="BX4" s="573"/>
      <c r="BY4" s="573"/>
      <c r="BZ4" s="573"/>
      <c r="CA4" s="573"/>
      <c r="CB4" s="573"/>
      <c r="CC4" s="573"/>
      <c r="CD4" s="573"/>
      <c r="CE4" s="573"/>
      <c r="CF4" s="573"/>
      <c r="CG4" s="573"/>
      <c r="CH4" s="573"/>
      <c r="CI4" s="573"/>
      <c r="CJ4" s="573"/>
      <c r="CK4" s="573"/>
      <c r="CL4" s="573"/>
      <c r="CM4" s="573"/>
      <c r="CN4" s="573"/>
      <c r="CO4" s="573"/>
      <c r="CP4" s="573"/>
      <c r="CQ4" s="573"/>
      <c r="CR4" s="573"/>
      <c r="CS4" s="573"/>
      <c r="CT4" s="573"/>
      <c r="CU4" s="573"/>
      <c r="CV4" s="573"/>
      <c r="CW4" s="573"/>
      <c r="CX4" s="573"/>
      <c r="CY4" s="573"/>
      <c r="CZ4" s="573"/>
      <c r="DA4" s="573"/>
      <c r="DB4" s="573"/>
      <c r="DC4" s="573"/>
      <c r="DD4" s="573"/>
      <c r="DE4" s="573"/>
      <c r="DF4" s="573"/>
      <c r="DG4" s="573"/>
      <c r="DH4" s="573"/>
      <c r="DI4" s="573"/>
      <c r="DJ4" s="573"/>
      <c r="DK4" s="573"/>
      <c r="DL4" s="573"/>
      <c r="DM4" s="573"/>
      <c r="DN4" s="573"/>
      <c r="DO4" s="573"/>
      <c r="DP4" s="573"/>
      <c r="DQ4" s="573"/>
      <c r="DR4" s="573"/>
      <c r="DS4" s="573"/>
      <c r="DT4" s="573"/>
      <c r="DU4" s="573"/>
      <c r="DV4" s="573"/>
      <c r="DW4" s="573"/>
      <c r="DX4" s="573"/>
      <c r="DY4" s="573"/>
      <c r="DZ4" s="573"/>
      <c r="EA4" s="573"/>
      <c r="EB4" s="574"/>
      <c r="EC4" s="450"/>
      <c r="ED4"/>
      <c r="EE4"/>
    </row>
    <row r="5" spans="1:137" ht="6.5" customHeight="1" x14ac:dyDescent="0.35">
      <c r="A5" s="450"/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452"/>
      <c r="AJ5" s="452"/>
      <c r="AK5" s="452"/>
      <c r="AL5" s="452"/>
      <c r="AM5" s="452"/>
      <c r="AN5" s="452"/>
      <c r="AO5" s="452"/>
      <c r="AP5" s="452"/>
      <c r="AQ5" s="452"/>
      <c r="AR5" s="452"/>
      <c r="AS5" s="452"/>
      <c r="AT5" s="452"/>
      <c r="AU5" s="452"/>
      <c r="AV5" s="452"/>
      <c r="AW5" s="452"/>
      <c r="AX5" s="452"/>
      <c r="AY5" s="452"/>
      <c r="AZ5" s="452"/>
      <c r="BA5" s="452"/>
      <c r="BB5" s="452"/>
      <c r="BC5" s="452"/>
      <c r="BD5" s="452"/>
      <c r="BE5" s="452"/>
      <c r="BF5" s="452"/>
      <c r="BG5" s="452"/>
      <c r="BH5" s="452"/>
      <c r="BI5" s="452"/>
      <c r="BJ5" s="452"/>
      <c r="BK5" s="452"/>
      <c r="BL5" s="452"/>
      <c r="BM5" s="452"/>
      <c r="BN5" s="452"/>
      <c r="BO5" s="452"/>
      <c r="BP5" s="452"/>
      <c r="BQ5" s="452"/>
      <c r="BR5" s="452"/>
      <c r="BS5" s="452"/>
      <c r="BT5" s="452"/>
      <c r="BU5" s="452"/>
      <c r="BV5" s="452"/>
      <c r="BW5" s="452"/>
      <c r="BX5" s="452"/>
      <c r="BY5" s="452"/>
      <c r="BZ5" s="452"/>
      <c r="CA5" s="452"/>
      <c r="CB5" s="452"/>
      <c r="CC5" s="452"/>
      <c r="CD5" s="452"/>
      <c r="CE5" s="452"/>
      <c r="CF5" s="452"/>
      <c r="CG5" s="452"/>
      <c r="CH5" s="452"/>
      <c r="CI5" s="452"/>
      <c r="CJ5" s="452"/>
      <c r="CK5" s="452"/>
      <c r="CL5" s="452"/>
      <c r="CM5" s="452"/>
      <c r="CN5" s="452"/>
      <c r="CO5" s="452"/>
      <c r="CP5" s="452"/>
      <c r="CQ5" s="452"/>
      <c r="CR5" s="452"/>
      <c r="CS5" s="452"/>
      <c r="CT5" s="452"/>
      <c r="CU5" s="452"/>
      <c r="CV5" s="452"/>
      <c r="CW5" s="452"/>
      <c r="CX5" s="452"/>
      <c r="CY5" s="452"/>
      <c r="CZ5" s="452"/>
      <c r="DA5" s="452"/>
      <c r="DB5" s="452"/>
      <c r="DC5" s="452"/>
      <c r="DD5" s="452"/>
      <c r="DE5" s="452"/>
      <c r="DF5" s="452"/>
      <c r="DG5" s="452"/>
      <c r="DH5" s="452"/>
      <c r="DI5" s="452"/>
      <c r="DJ5" s="452"/>
      <c r="DK5" s="452"/>
      <c r="DL5" s="452"/>
      <c r="DM5" s="452"/>
      <c r="DN5" s="452"/>
      <c r="DO5" s="452"/>
      <c r="DP5" s="452"/>
      <c r="DQ5" s="452"/>
      <c r="DR5" s="452"/>
      <c r="DS5" s="452"/>
      <c r="DT5" s="452"/>
      <c r="DU5" s="452"/>
      <c r="DV5" s="452"/>
      <c r="DW5" s="452"/>
      <c r="DX5" s="452"/>
      <c r="DY5" s="452"/>
      <c r="DZ5" s="452"/>
      <c r="EA5" s="452"/>
      <c r="EB5" s="452"/>
      <c r="EC5" s="450"/>
      <c r="ED5"/>
      <c r="EE5"/>
    </row>
    <row r="6" spans="1:137" ht="31.5" customHeight="1" x14ac:dyDescent="0.35">
      <c r="B6" s="343" t="s">
        <v>139</v>
      </c>
      <c r="C6" s="23">
        <f>D6+E6+F6</f>
        <v>34</v>
      </c>
      <c r="D6" s="480">
        <v>2</v>
      </c>
      <c r="E6" s="481">
        <v>1</v>
      </c>
      <c r="F6" s="482">
        <v>31</v>
      </c>
      <c r="H6" s="22"/>
      <c r="I6" s="374" t="s">
        <v>305</v>
      </c>
      <c r="J6" s="22"/>
      <c r="K6" s="337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EA6"/>
      <c r="EB6"/>
      <c r="EC6"/>
      <c r="ED6"/>
      <c r="EE6"/>
    </row>
    <row r="7" spans="1:137" ht="15" customHeight="1" x14ac:dyDescent="0.35">
      <c r="B7" s="22"/>
      <c r="C7" s="399">
        <f>D9/D6</f>
        <v>35.135249366018598</v>
      </c>
      <c r="D7" s="400">
        <f>D6*35</f>
        <v>70</v>
      </c>
      <c r="E7" s="401">
        <f>E9/(D6+E6)</f>
        <v>33.333257082809858</v>
      </c>
      <c r="F7" s="402">
        <f>(D6+E6)*15</f>
        <v>45</v>
      </c>
      <c r="G7" s="22"/>
      <c r="H7" s="22"/>
      <c r="I7" s="375" t="s">
        <v>153</v>
      </c>
      <c r="J7" s="22"/>
      <c r="K7" s="336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EA7"/>
      <c r="EB7"/>
      <c r="EC7"/>
      <c r="ED7"/>
      <c r="EE7"/>
    </row>
    <row r="8" spans="1:137" ht="39.75" customHeight="1" x14ac:dyDescent="0.35">
      <c r="B8" s="344" t="s">
        <v>138</v>
      </c>
      <c r="C8" s="26" t="s">
        <v>134</v>
      </c>
      <c r="D8" s="27" t="str">
        <f>CONCATENATE(B1," ",C1," ",C6," ",D1)</f>
        <v>meses de los 34 del grupo Interv</v>
      </c>
      <c r="E8" s="27" t="str">
        <f>CONCATENATE(B1," ",C1," ",C6," ",E1)</f>
        <v>meses de los 34 del grupo Contr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EA8"/>
      <c r="EB8"/>
      <c r="EC8"/>
      <c r="ED8"/>
      <c r="EE8"/>
    </row>
    <row r="9" spans="1:137" ht="21" customHeight="1" x14ac:dyDescent="0.35">
      <c r="B9" s="405" t="s">
        <v>1</v>
      </c>
      <c r="C9" s="28">
        <v>2.0667793744716825</v>
      </c>
      <c r="D9" s="372">
        <f>C9*C6</f>
        <v>70.270498732037197</v>
      </c>
      <c r="E9" s="575">
        <f>(C9+C10)*C6</f>
        <v>99.999771248429582</v>
      </c>
      <c r="F9" s="29"/>
      <c r="G9" s="29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22"/>
      <c r="BQ9" s="22"/>
      <c r="BR9" s="22"/>
      <c r="EA9"/>
      <c r="EB9"/>
      <c r="EC9"/>
      <c r="ED9"/>
      <c r="EE9"/>
    </row>
    <row r="10" spans="1:137" ht="26" x14ac:dyDescent="0.35">
      <c r="B10" s="406" t="s">
        <v>3</v>
      </c>
      <c r="C10" s="31">
        <v>0.87439036812918758</v>
      </c>
      <c r="D10" s="576">
        <f>(C11+C10)*C6</f>
        <v>1969.7295012679629</v>
      </c>
      <c r="E10" s="575"/>
      <c r="F10" s="25"/>
      <c r="G10" s="401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22"/>
      <c r="BQ10" s="22"/>
      <c r="BR10" s="22"/>
      <c r="EA10"/>
      <c r="EB10"/>
      <c r="EC10"/>
      <c r="ED10"/>
      <c r="EE10"/>
    </row>
    <row r="11" spans="1:137" ht="26" x14ac:dyDescent="0.35">
      <c r="B11" s="407" t="s">
        <v>2</v>
      </c>
      <c r="C11" s="33">
        <v>57.058830257399137</v>
      </c>
      <c r="D11" s="576"/>
      <c r="E11" s="34">
        <f>C11*C6</f>
        <v>1940.0002287515706</v>
      </c>
      <c r="F11" s="24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</row>
    <row r="12" spans="1:137" x14ac:dyDescent="0.35">
      <c r="B12" s="2"/>
      <c r="C12" s="35">
        <v>60.000000000000007</v>
      </c>
      <c r="D12" s="36">
        <f>D9+D10</f>
        <v>2040</v>
      </c>
      <c r="E12" s="36">
        <f>E9+E11</f>
        <v>2040.0000000000002</v>
      </c>
      <c r="F12" s="37"/>
      <c r="G12" s="37"/>
      <c r="H12" s="373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</row>
    <row r="13" spans="1:137" ht="9" customHeight="1" x14ac:dyDescent="0.35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</row>
    <row r="14" spans="1:137" x14ac:dyDescent="0.35">
      <c r="B14" s="22"/>
      <c r="C14" s="22"/>
      <c r="D14" s="18">
        <f>(F6+E6)*C12</f>
        <v>1920.0000000000002</v>
      </c>
      <c r="E14" s="18">
        <f>F6*C12</f>
        <v>1860.0000000000002</v>
      </c>
      <c r="F14" s="22"/>
      <c r="G14" s="38" t="s">
        <v>12</v>
      </c>
      <c r="H14" s="22"/>
      <c r="I14" s="22"/>
      <c r="J14" s="22"/>
      <c r="K14" s="22"/>
      <c r="L14" s="22"/>
      <c r="M14" s="22"/>
      <c r="N14" s="22"/>
      <c r="O14" s="22"/>
      <c r="P14" s="22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</row>
    <row r="15" spans="1:137" ht="36" customHeight="1" x14ac:dyDescent="0.35">
      <c r="B15" s="577" t="s">
        <v>13</v>
      </c>
      <c r="C15" s="577"/>
      <c r="D15" s="39">
        <f>D10-D14</f>
        <v>49.729501267962632</v>
      </c>
      <c r="E15" s="39">
        <f>E11-E14</f>
        <v>80.000228751570376</v>
      </c>
      <c r="G15" s="578" t="str">
        <f>IF((AND(((C10+C11)/C12)&gt;((E6+F6)/C6),(C11/C12)&gt;(F6/C6))),F2,#REF!)</f>
        <v>puede representarse llegando los 34 pacientes, a los 60 meses</v>
      </c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440"/>
      <c r="Y15" s="440"/>
      <c r="Z15" s="440"/>
      <c r="AA15" s="440"/>
      <c r="AB15" s="440"/>
      <c r="AC15" s="440"/>
      <c r="AD15" s="440"/>
      <c r="AE15" s="440"/>
      <c r="AF15" s="440"/>
      <c r="AG15" s="440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</row>
    <row r="16" spans="1:137" ht="18.75" customHeight="1" x14ac:dyDescent="0.35">
      <c r="B16" s="40"/>
      <c r="C16" s="40"/>
      <c r="D16" s="40"/>
      <c r="E16" s="40"/>
      <c r="G16" s="41"/>
      <c r="H16" s="439">
        <v>60</v>
      </c>
      <c r="I16" s="439">
        <v>59</v>
      </c>
      <c r="J16" s="439">
        <v>58</v>
      </c>
      <c r="K16" s="439">
        <v>57</v>
      </c>
      <c r="L16" s="439">
        <v>56</v>
      </c>
      <c r="M16" s="439">
        <v>55</v>
      </c>
      <c r="N16" s="439">
        <v>54</v>
      </c>
      <c r="O16" s="439">
        <v>53</v>
      </c>
      <c r="P16" s="439">
        <v>52</v>
      </c>
      <c r="Q16" s="439">
        <v>51</v>
      </c>
      <c r="R16" s="439">
        <v>50</v>
      </c>
      <c r="S16" s="439">
        <v>49</v>
      </c>
      <c r="T16" s="439">
        <v>48</v>
      </c>
      <c r="U16" s="439">
        <v>47</v>
      </c>
      <c r="V16" s="439">
        <v>46</v>
      </c>
      <c r="W16" s="439">
        <v>45</v>
      </c>
      <c r="X16" s="439">
        <v>44</v>
      </c>
      <c r="Y16" s="439">
        <v>43</v>
      </c>
      <c r="Z16" s="439">
        <v>42</v>
      </c>
      <c r="AA16" s="439">
        <v>41</v>
      </c>
      <c r="AB16" s="439">
        <v>40</v>
      </c>
      <c r="AC16" s="439">
        <v>39</v>
      </c>
      <c r="AD16" s="439">
        <v>38</v>
      </c>
      <c r="AE16" s="439">
        <v>37</v>
      </c>
      <c r="AF16" s="439">
        <v>36</v>
      </c>
      <c r="AG16" s="439">
        <v>35</v>
      </c>
      <c r="AH16" s="439">
        <v>34</v>
      </c>
      <c r="AI16" s="439">
        <v>33</v>
      </c>
      <c r="AJ16" s="439">
        <v>32</v>
      </c>
      <c r="AK16" s="439">
        <v>31</v>
      </c>
      <c r="AL16" s="439">
        <v>30</v>
      </c>
      <c r="AM16" s="439">
        <v>29</v>
      </c>
      <c r="AN16" s="439">
        <v>28</v>
      </c>
      <c r="AO16" s="439">
        <v>27</v>
      </c>
      <c r="AP16" s="439">
        <v>26</v>
      </c>
      <c r="AQ16" s="439">
        <v>25</v>
      </c>
      <c r="AR16" s="439">
        <v>24</v>
      </c>
      <c r="AS16" s="439">
        <v>23</v>
      </c>
      <c r="AT16" s="439">
        <v>22</v>
      </c>
      <c r="AU16" s="439">
        <v>21</v>
      </c>
      <c r="AV16" s="439">
        <v>20</v>
      </c>
      <c r="AW16" s="439">
        <v>19</v>
      </c>
      <c r="AX16" s="439">
        <v>18</v>
      </c>
      <c r="AY16" s="439">
        <v>17</v>
      </c>
      <c r="AZ16" s="439">
        <v>16</v>
      </c>
      <c r="BA16" s="439">
        <v>15</v>
      </c>
      <c r="BB16" s="439">
        <v>14</v>
      </c>
      <c r="BC16" s="439">
        <v>13</v>
      </c>
      <c r="BD16" s="439">
        <v>12</v>
      </c>
      <c r="BE16" s="439">
        <v>11</v>
      </c>
      <c r="BF16" s="439">
        <v>10</v>
      </c>
      <c r="BG16" s="439">
        <v>9</v>
      </c>
      <c r="BH16" s="439">
        <v>8</v>
      </c>
      <c r="BI16" s="439">
        <v>7</v>
      </c>
      <c r="BJ16" s="439">
        <v>6</v>
      </c>
      <c r="BK16" s="439">
        <v>5</v>
      </c>
      <c r="BL16" s="439">
        <v>4</v>
      </c>
      <c r="BM16" s="439">
        <v>3</v>
      </c>
      <c r="BN16" s="439">
        <v>2</v>
      </c>
      <c r="BO16" s="439">
        <v>1</v>
      </c>
      <c r="BP16" s="41"/>
      <c r="BQ16" s="41"/>
      <c r="BR16" s="41"/>
      <c r="BS16" s="439">
        <v>60</v>
      </c>
      <c r="BT16" s="439">
        <v>59</v>
      </c>
      <c r="BU16" s="439">
        <v>58</v>
      </c>
      <c r="BV16" s="439">
        <v>57</v>
      </c>
      <c r="BW16" s="439">
        <v>56</v>
      </c>
      <c r="BX16" s="439">
        <v>55</v>
      </c>
      <c r="BY16" s="439">
        <v>54</v>
      </c>
      <c r="BZ16" s="439">
        <v>53</v>
      </c>
      <c r="CA16" s="439">
        <v>52</v>
      </c>
      <c r="CB16" s="439">
        <v>51</v>
      </c>
      <c r="CC16" s="439">
        <v>50</v>
      </c>
      <c r="CD16" s="439">
        <v>49</v>
      </c>
      <c r="CE16" s="439">
        <v>48</v>
      </c>
      <c r="CF16" s="439">
        <v>47</v>
      </c>
      <c r="CG16" s="439">
        <v>46</v>
      </c>
      <c r="CH16" s="439">
        <v>45</v>
      </c>
      <c r="CI16" s="439">
        <v>44</v>
      </c>
      <c r="CJ16" s="439">
        <v>43</v>
      </c>
      <c r="CK16" s="439">
        <v>42</v>
      </c>
      <c r="CL16" s="439">
        <v>41</v>
      </c>
      <c r="CM16" s="439">
        <v>40</v>
      </c>
      <c r="CN16" s="439">
        <v>39</v>
      </c>
      <c r="CO16" s="439">
        <v>38</v>
      </c>
      <c r="CP16" s="439">
        <v>37</v>
      </c>
      <c r="CQ16" s="439">
        <v>36</v>
      </c>
      <c r="CR16" s="439">
        <v>35</v>
      </c>
      <c r="CS16" s="439">
        <v>34</v>
      </c>
      <c r="CT16" s="439">
        <v>33</v>
      </c>
      <c r="CU16" s="439">
        <v>32</v>
      </c>
      <c r="CV16" s="439">
        <v>31</v>
      </c>
      <c r="CW16" s="439">
        <v>30</v>
      </c>
      <c r="CX16" s="439">
        <v>29</v>
      </c>
      <c r="CY16" s="439">
        <v>28</v>
      </c>
      <c r="CZ16" s="439">
        <v>27</v>
      </c>
      <c r="DA16" s="439">
        <v>26</v>
      </c>
      <c r="DB16" s="439">
        <v>25</v>
      </c>
      <c r="DC16" s="439">
        <v>24</v>
      </c>
      <c r="DD16" s="439">
        <v>23</v>
      </c>
      <c r="DE16" s="439">
        <v>22</v>
      </c>
      <c r="DF16" s="439">
        <v>21</v>
      </c>
      <c r="DG16" s="439">
        <v>20</v>
      </c>
      <c r="DH16" s="439">
        <v>19</v>
      </c>
      <c r="DI16" s="439">
        <v>18</v>
      </c>
      <c r="DJ16" s="439">
        <v>17</v>
      </c>
      <c r="DK16" s="439">
        <v>16</v>
      </c>
      <c r="DL16" s="439">
        <v>15</v>
      </c>
      <c r="DM16" s="439">
        <v>14</v>
      </c>
      <c r="DN16" s="439">
        <v>13</v>
      </c>
      <c r="DO16" s="439">
        <v>12</v>
      </c>
      <c r="DP16" s="439">
        <v>11</v>
      </c>
      <c r="DQ16" s="439">
        <v>10</v>
      </c>
      <c r="DR16" s="439">
        <v>9</v>
      </c>
      <c r="DS16" s="439">
        <v>8</v>
      </c>
      <c r="DT16" s="439">
        <v>7</v>
      </c>
      <c r="DU16" s="439">
        <v>6</v>
      </c>
      <c r="DV16" s="439">
        <v>5</v>
      </c>
      <c r="DW16" s="439">
        <v>4</v>
      </c>
      <c r="DX16" s="439">
        <v>3</v>
      </c>
      <c r="DY16" s="439">
        <v>2</v>
      </c>
      <c r="DZ16" s="439">
        <v>1</v>
      </c>
      <c r="EA16" s="439"/>
      <c r="EB16" s="439"/>
      <c r="EC16" s="439"/>
      <c r="ED16" s="439"/>
      <c r="EE16" s="22"/>
    </row>
    <row r="17" spans="2:139" ht="17.25" customHeight="1" x14ac:dyDescent="0.35">
      <c r="B17" s="428" t="s">
        <v>263</v>
      </c>
      <c r="C17" s="490"/>
      <c r="D17" s="490"/>
      <c r="E17" s="490"/>
      <c r="H17" s="42" t="s">
        <v>204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1"/>
      <c r="BQ17" s="41"/>
      <c r="BR17" s="41"/>
      <c r="BS17" s="42" t="s">
        <v>205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1"/>
      <c r="EB17" s="41"/>
      <c r="EC17" s="41"/>
      <c r="ED17" s="41"/>
      <c r="EE17" s="41"/>
    </row>
    <row r="18" spans="2:139" ht="15" x14ac:dyDescent="0.35">
      <c r="B18" s="93" t="s">
        <v>256</v>
      </c>
      <c r="C18" s="46"/>
      <c r="D18" s="409"/>
      <c r="E18" s="40"/>
      <c r="H18" s="42" t="s">
        <v>145</v>
      </c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S18" s="42" t="s">
        <v>145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</row>
    <row r="19" spans="2:139" ht="15" x14ac:dyDescent="0.35">
      <c r="B19" s="93" t="s">
        <v>257</v>
      </c>
      <c r="C19" s="409"/>
      <c r="D19" s="409"/>
      <c r="E19" s="40"/>
      <c r="G19" s="20"/>
      <c r="H19" s="438">
        <v>1</v>
      </c>
      <c r="I19" s="438">
        <v>2</v>
      </c>
      <c r="J19" s="438">
        <v>3</v>
      </c>
      <c r="K19" s="438">
        <v>4</v>
      </c>
      <c r="L19" s="438">
        <v>5</v>
      </c>
      <c r="M19" s="438">
        <v>6</v>
      </c>
      <c r="N19" s="438">
        <v>7</v>
      </c>
      <c r="O19" s="438">
        <v>8</v>
      </c>
      <c r="P19" s="438">
        <v>9</v>
      </c>
      <c r="Q19" s="438">
        <v>10</v>
      </c>
      <c r="R19" s="438">
        <v>11</v>
      </c>
      <c r="S19" s="438">
        <v>12</v>
      </c>
      <c r="T19" s="438">
        <v>13</v>
      </c>
      <c r="U19" s="438">
        <v>14</v>
      </c>
      <c r="V19" s="438">
        <v>15</v>
      </c>
      <c r="W19" s="438">
        <v>16</v>
      </c>
      <c r="X19" s="438">
        <v>17</v>
      </c>
      <c r="Y19" s="438">
        <v>18</v>
      </c>
      <c r="Z19" s="438">
        <v>19</v>
      </c>
      <c r="AA19" s="438">
        <v>20</v>
      </c>
      <c r="AB19" s="438">
        <v>21</v>
      </c>
      <c r="AC19" s="438">
        <v>22</v>
      </c>
      <c r="AD19" s="438">
        <v>23</v>
      </c>
      <c r="AE19" s="438">
        <v>24</v>
      </c>
      <c r="AF19" s="438">
        <v>25</v>
      </c>
      <c r="AG19" s="438">
        <v>26</v>
      </c>
      <c r="AH19" s="438">
        <v>27</v>
      </c>
      <c r="AI19" s="438">
        <v>28</v>
      </c>
      <c r="AJ19" s="438">
        <v>29</v>
      </c>
      <c r="AK19" s="438">
        <v>30</v>
      </c>
      <c r="AL19" s="438">
        <v>31</v>
      </c>
      <c r="AM19" s="438">
        <v>32</v>
      </c>
      <c r="AN19" s="438">
        <v>33</v>
      </c>
      <c r="AO19" s="438">
        <v>34</v>
      </c>
      <c r="AP19" s="438">
        <v>35</v>
      </c>
      <c r="AQ19" s="438">
        <v>36</v>
      </c>
      <c r="AR19" s="438">
        <v>37</v>
      </c>
      <c r="AS19" s="438">
        <v>38</v>
      </c>
      <c r="AT19" s="438">
        <v>39</v>
      </c>
      <c r="AU19" s="438">
        <v>40</v>
      </c>
      <c r="AV19" s="438">
        <v>41</v>
      </c>
      <c r="AW19" s="438">
        <v>42</v>
      </c>
      <c r="AX19" s="438">
        <v>43</v>
      </c>
      <c r="AY19" s="438">
        <v>44</v>
      </c>
      <c r="AZ19" s="438">
        <v>45</v>
      </c>
      <c r="BA19" s="438">
        <v>46</v>
      </c>
      <c r="BB19" s="438">
        <v>47</v>
      </c>
      <c r="BC19" s="438">
        <v>48</v>
      </c>
      <c r="BD19" s="438">
        <v>49</v>
      </c>
      <c r="BE19" s="438">
        <v>50</v>
      </c>
      <c r="BF19" s="438">
        <v>51</v>
      </c>
      <c r="BG19" s="438">
        <v>52</v>
      </c>
      <c r="BH19" s="438">
        <v>53</v>
      </c>
      <c r="BI19" s="438">
        <v>54</v>
      </c>
      <c r="BJ19" s="438">
        <v>55</v>
      </c>
      <c r="BK19" s="438">
        <v>56</v>
      </c>
      <c r="BL19" s="438">
        <v>57</v>
      </c>
      <c r="BM19" s="438">
        <v>58</v>
      </c>
      <c r="BN19" s="438">
        <v>59</v>
      </c>
      <c r="BO19" s="438">
        <v>60</v>
      </c>
      <c r="BP19" s="345"/>
      <c r="BQ19" s="345"/>
      <c r="BR19" s="20"/>
      <c r="BS19" s="438">
        <v>1</v>
      </c>
      <c r="BT19" s="438">
        <v>2</v>
      </c>
      <c r="BU19" s="438">
        <v>3</v>
      </c>
      <c r="BV19" s="438">
        <v>4</v>
      </c>
      <c r="BW19" s="438">
        <v>5</v>
      </c>
      <c r="BX19" s="438">
        <v>6</v>
      </c>
      <c r="BY19" s="438">
        <v>7</v>
      </c>
      <c r="BZ19" s="438">
        <v>8</v>
      </c>
      <c r="CA19" s="438">
        <v>9</v>
      </c>
      <c r="CB19" s="438">
        <v>10</v>
      </c>
      <c r="CC19" s="438">
        <v>11</v>
      </c>
      <c r="CD19" s="438">
        <v>12</v>
      </c>
      <c r="CE19" s="438">
        <v>13</v>
      </c>
      <c r="CF19" s="438">
        <v>14</v>
      </c>
      <c r="CG19" s="438">
        <v>15</v>
      </c>
      <c r="CH19" s="438">
        <v>16</v>
      </c>
      <c r="CI19" s="438">
        <v>17</v>
      </c>
      <c r="CJ19" s="438">
        <v>18</v>
      </c>
      <c r="CK19" s="438">
        <v>19</v>
      </c>
      <c r="CL19" s="438">
        <v>20</v>
      </c>
      <c r="CM19" s="438">
        <v>21</v>
      </c>
      <c r="CN19" s="438">
        <v>22</v>
      </c>
      <c r="CO19" s="438">
        <v>23</v>
      </c>
      <c r="CP19" s="438">
        <v>24</v>
      </c>
      <c r="CQ19" s="438">
        <v>25</v>
      </c>
      <c r="CR19" s="438">
        <v>26</v>
      </c>
      <c r="CS19" s="438">
        <v>27</v>
      </c>
      <c r="CT19" s="438">
        <v>28</v>
      </c>
      <c r="CU19" s="438">
        <v>29</v>
      </c>
      <c r="CV19" s="438">
        <v>30</v>
      </c>
      <c r="CW19" s="438">
        <v>31</v>
      </c>
      <c r="CX19" s="438">
        <v>32</v>
      </c>
      <c r="CY19" s="438">
        <v>33</v>
      </c>
      <c r="CZ19" s="438">
        <v>34</v>
      </c>
      <c r="DA19" s="438">
        <v>35</v>
      </c>
      <c r="DB19" s="438">
        <v>36</v>
      </c>
      <c r="DC19" s="438">
        <v>37</v>
      </c>
      <c r="DD19" s="438">
        <v>38</v>
      </c>
      <c r="DE19" s="438">
        <v>39</v>
      </c>
      <c r="DF19" s="438">
        <v>40</v>
      </c>
      <c r="DG19" s="438">
        <v>41</v>
      </c>
      <c r="DH19" s="438">
        <v>42</v>
      </c>
      <c r="DI19" s="438">
        <v>43</v>
      </c>
      <c r="DJ19" s="438">
        <v>44</v>
      </c>
      <c r="DK19" s="438">
        <v>45</v>
      </c>
      <c r="DL19" s="438">
        <v>46</v>
      </c>
      <c r="DM19" s="438">
        <v>47</v>
      </c>
      <c r="DN19" s="438">
        <v>48</v>
      </c>
      <c r="DO19" s="438">
        <v>49</v>
      </c>
      <c r="DP19" s="438">
        <v>50</v>
      </c>
      <c r="DQ19" s="438">
        <v>51</v>
      </c>
      <c r="DR19" s="438">
        <v>52</v>
      </c>
      <c r="DS19" s="438">
        <v>53</v>
      </c>
      <c r="DT19" s="438">
        <v>54</v>
      </c>
      <c r="DU19" s="438">
        <v>55</v>
      </c>
      <c r="DV19" s="438">
        <v>56</v>
      </c>
      <c r="DW19" s="438">
        <v>57</v>
      </c>
      <c r="DX19" s="438">
        <v>58</v>
      </c>
      <c r="DY19" s="438">
        <v>59</v>
      </c>
      <c r="DZ19" s="438">
        <v>60</v>
      </c>
      <c r="EA19" s="345"/>
      <c r="EB19"/>
    </row>
    <row r="20" spans="2:139" ht="14.5" customHeight="1" x14ac:dyDescent="0.35">
      <c r="B20" s="93"/>
      <c r="C20" s="46"/>
      <c r="D20" s="46"/>
      <c r="F20" s="579" t="s">
        <v>144</v>
      </c>
      <c r="G20" s="45">
        <v>34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03"/>
      <c r="AH20" s="403"/>
      <c r="AI20" s="403"/>
      <c r="AJ20" s="403"/>
      <c r="AK20" s="403"/>
      <c r="AL20" s="403"/>
      <c r="AM20" s="403"/>
      <c r="AN20" s="403"/>
      <c r="AO20" s="403"/>
      <c r="AP20" s="403"/>
      <c r="AQ20" s="403"/>
      <c r="AR20" s="403"/>
      <c r="AS20" s="403"/>
      <c r="AT20" s="403"/>
      <c r="AU20" s="403"/>
      <c r="AV20" s="403"/>
      <c r="AW20" s="403"/>
      <c r="AX20" s="403"/>
      <c r="AY20" s="403"/>
      <c r="AZ20" s="403"/>
      <c r="BA20" s="403"/>
      <c r="BB20" s="403"/>
      <c r="BC20" s="403"/>
      <c r="BD20" s="403"/>
      <c r="BE20" s="403"/>
      <c r="BF20" s="403"/>
      <c r="BG20" s="403"/>
      <c r="BH20" s="403"/>
      <c r="BI20" s="403"/>
      <c r="BJ20" s="403"/>
      <c r="BK20" s="403"/>
      <c r="BL20" s="403"/>
      <c r="BM20" s="403"/>
      <c r="BN20" s="403"/>
      <c r="BO20" s="403"/>
      <c r="BP20" s="484">
        <v>34</v>
      </c>
      <c r="BQ20" s="20"/>
      <c r="BR20" s="45">
        <v>34</v>
      </c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03"/>
      <c r="CS20" s="403"/>
      <c r="CT20" s="403"/>
      <c r="CU20" s="403"/>
      <c r="CV20" s="403"/>
      <c r="CW20" s="403"/>
      <c r="CX20" s="403"/>
      <c r="CY20" s="403"/>
      <c r="CZ20" s="403"/>
      <c r="DA20" s="403"/>
      <c r="DB20" s="403"/>
      <c r="DC20" s="403"/>
      <c r="DD20" s="403"/>
      <c r="DE20" s="403"/>
      <c r="DF20" s="403"/>
      <c r="DG20" s="403"/>
      <c r="DH20" s="403"/>
      <c r="DI20" s="403"/>
      <c r="DJ20" s="403"/>
      <c r="DK20" s="403"/>
      <c r="DL20" s="403"/>
      <c r="DM20" s="403"/>
      <c r="DN20" s="403"/>
      <c r="DO20" s="403"/>
      <c r="DP20" s="403"/>
      <c r="DQ20" s="403"/>
      <c r="DR20" s="403"/>
      <c r="DS20" s="403"/>
      <c r="DT20" s="403"/>
      <c r="DU20" s="403"/>
      <c r="DV20" s="403"/>
      <c r="DW20" s="403"/>
      <c r="DX20" s="403"/>
      <c r="DY20" s="403"/>
      <c r="DZ20" s="403"/>
      <c r="EA20" s="484">
        <v>34</v>
      </c>
      <c r="EB20" s="579" t="s">
        <v>144</v>
      </c>
      <c r="EC20" s="43"/>
      <c r="ED20" s="43"/>
      <c r="EE20" s="43"/>
      <c r="EF20" s="43"/>
      <c r="EG20" s="43"/>
      <c r="EH20" s="43"/>
      <c r="EI20" s="43"/>
    </row>
    <row r="21" spans="2:139" ht="15" thickBot="1" x14ac:dyDescent="0.4">
      <c r="B21" s="93"/>
      <c r="C21" s="46"/>
      <c r="D21" s="46"/>
      <c r="F21" s="579"/>
      <c r="G21" s="45">
        <v>33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03"/>
      <c r="AH21" s="403"/>
      <c r="AI21" s="403"/>
      <c r="AJ21" s="403"/>
      <c r="AK21" s="403"/>
      <c r="AL21" s="403"/>
      <c r="AM21" s="403"/>
      <c r="AN21" s="403"/>
      <c r="AO21" s="403"/>
      <c r="AP21" s="403"/>
      <c r="AQ21" s="403"/>
      <c r="AR21" s="403"/>
      <c r="AS21" s="403"/>
      <c r="AT21" s="403"/>
      <c r="AU21" s="403"/>
      <c r="AV21" s="403"/>
      <c r="AW21" s="403"/>
      <c r="AX21" s="403"/>
      <c r="AY21" s="403"/>
      <c r="AZ21" s="403"/>
      <c r="BA21" s="403"/>
      <c r="BB21" s="403"/>
      <c r="BC21" s="403"/>
      <c r="BD21" s="403"/>
      <c r="BE21" s="403"/>
      <c r="BF21" s="403"/>
      <c r="BG21" s="403"/>
      <c r="BH21" s="403"/>
      <c r="BI21" s="403"/>
      <c r="BJ21" s="403"/>
      <c r="BK21" s="403"/>
      <c r="BL21" s="403"/>
      <c r="BM21" s="403"/>
      <c r="BN21" s="403"/>
      <c r="BO21" s="403"/>
      <c r="BP21" s="484">
        <v>33</v>
      </c>
      <c r="BQ21" s="20"/>
      <c r="BR21" s="45">
        <v>33</v>
      </c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03"/>
      <c r="CS21" s="403"/>
      <c r="CT21" s="403"/>
      <c r="CU21" s="403"/>
      <c r="CV21" s="403"/>
      <c r="CW21" s="403"/>
      <c r="CX21" s="403"/>
      <c r="CY21" s="403"/>
      <c r="CZ21" s="403"/>
      <c r="DA21" s="403"/>
      <c r="DB21" s="403"/>
      <c r="DC21" s="403"/>
      <c r="DD21" s="403"/>
      <c r="DE21" s="403"/>
      <c r="DF21" s="403"/>
      <c r="DG21" s="403"/>
      <c r="DH21" s="403"/>
      <c r="DI21" s="403"/>
      <c r="DJ21" s="403"/>
      <c r="DK21" s="403"/>
      <c r="DL21" s="403"/>
      <c r="DM21" s="403"/>
      <c r="DN21" s="403"/>
      <c r="DO21" s="403"/>
      <c r="DP21" s="403"/>
      <c r="DQ21" s="403"/>
      <c r="DR21" s="403"/>
      <c r="DS21" s="403"/>
      <c r="DT21" s="403"/>
      <c r="DU21" s="403"/>
      <c r="DV21" s="403"/>
      <c r="DW21" s="403"/>
      <c r="DX21" s="403"/>
      <c r="DY21" s="403"/>
      <c r="DZ21" s="403"/>
      <c r="EA21" s="484">
        <v>33</v>
      </c>
      <c r="EB21" s="579"/>
      <c r="EC21" s="43"/>
      <c r="ED21" s="43"/>
      <c r="EE21" s="43"/>
      <c r="EF21" s="43"/>
      <c r="EG21" s="43"/>
      <c r="EH21" s="43"/>
      <c r="EI21" s="43"/>
    </row>
    <row r="22" spans="2:139" ht="16" thickBot="1" x14ac:dyDescent="0.4">
      <c r="F22" s="579"/>
      <c r="G22" s="387">
        <v>32</v>
      </c>
      <c r="H22" s="388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389"/>
      <c r="AB22" s="389"/>
      <c r="AC22" s="389"/>
      <c r="AD22" s="389"/>
      <c r="AE22" s="389"/>
      <c r="AF22" s="389"/>
      <c r="AG22" s="389"/>
      <c r="AH22" s="389"/>
      <c r="AI22" s="389"/>
      <c r="AJ22" s="389"/>
      <c r="AK22" s="389"/>
      <c r="AL22" s="389"/>
      <c r="AM22" s="389"/>
      <c r="AN22" s="389"/>
      <c r="AO22" s="389"/>
      <c r="AP22" s="389"/>
      <c r="AQ22" s="389"/>
      <c r="AR22" s="389"/>
      <c r="AS22" s="389"/>
      <c r="AT22" s="389"/>
      <c r="AU22" s="389"/>
      <c r="AV22" s="389"/>
      <c r="AW22" s="389"/>
      <c r="AX22" s="389"/>
      <c r="AY22" s="389"/>
      <c r="AZ22" s="389"/>
      <c r="BA22" s="389"/>
      <c r="BB22" s="389"/>
      <c r="BC22" s="389"/>
      <c r="BD22" s="389"/>
      <c r="BE22" s="389"/>
      <c r="BF22" s="389"/>
      <c r="BG22" s="389"/>
      <c r="BH22" s="389"/>
      <c r="BI22" s="389"/>
      <c r="BJ22" s="389"/>
      <c r="BK22" s="389"/>
      <c r="BL22" s="389"/>
      <c r="BM22" s="389"/>
      <c r="BN22" s="389"/>
      <c r="BO22" s="389"/>
      <c r="BP22" s="390">
        <v>32</v>
      </c>
      <c r="BR22" s="387">
        <v>32</v>
      </c>
      <c r="BS22" s="388"/>
      <c r="BT22" s="389"/>
      <c r="BU22" s="389"/>
      <c r="BV22" s="389"/>
      <c r="BW22" s="389"/>
      <c r="BX22" s="389"/>
      <c r="BY22" s="389"/>
      <c r="BZ22" s="389"/>
      <c r="CA22" s="389"/>
      <c r="CB22" s="389"/>
      <c r="CC22" s="389"/>
      <c r="CD22" s="389"/>
      <c r="CE22" s="389"/>
      <c r="CF22" s="389"/>
      <c r="CG22" s="389"/>
      <c r="CH22" s="389"/>
      <c r="CI22" s="389"/>
      <c r="CJ22" s="389"/>
      <c r="CK22" s="389"/>
      <c r="CL22" s="389"/>
      <c r="CM22" s="389"/>
      <c r="CN22" s="389"/>
      <c r="CO22" s="389"/>
      <c r="CP22" s="389"/>
      <c r="CQ22" s="389"/>
      <c r="CR22" s="389"/>
      <c r="CS22" s="389"/>
      <c r="CT22" s="389"/>
      <c r="CU22" s="389"/>
      <c r="CV22" s="389"/>
      <c r="CW22" s="408"/>
      <c r="CX22" s="408"/>
      <c r="CY22" s="408"/>
      <c r="CZ22" s="408"/>
      <c r="DA22" s="408"/>
      <c r="DB22" s="408"/>
      <c r="DC22" s="408"/>
      <c r="DD22" s="408"/>
      <c r="DE22" s="408"/>
      <c r="DF22" s="408"/>
      <c r="DG22" s="408"/>
      <c r="DH22" s="408"/>
      <c r="DI22" s="408"/>
      <c r="DJ22" s="408"/>
      <c r="DK22" s="408"/>
      <c r="DL22" s="408"/>
      <c r="DM22" s="408"/>
      <c r="DN22" s="408"/>
      <c r="DO22" s="408"/>
      <c r="DP22" s="408"/>
      <c r="DQ22" s="408"/>
      <c r="DR22" s="408"/>
      <c r="DS22" s="408"/>
      <c r="DT22" s="408"/>
      <c r="DU22" s="408"/>
      <c r="DV22" s="408"/>
      <c r="DW22" s="408"/>
      <c r="DX22" s="408"/>
      <c r="DY22" s="408"/>
      <c r="DZ22" s="408"/>
      <c r="EA22" s="486">
        <v>32</v>
      </c>
      <c r="EB22" s="579"/>
      <c r="EC22" s="43"/>
      <c r="ED22" s="43"/>
      <c r="EE22" s="43"/>
      <c r="EF22" s="43"/>
      <c r="EG22" s="43"/>
      <c r="EH22" s="43"/>
      <c r="EI22" s="43"/>
    </row>
    <row r="23" spans="2:139" x14ac:dyDescent="0.35">
      <c r="B23" s="291" t="s">
        <v>120</v>
      </c>
      <c r="C23" s="292"/>
      <c r="D23" s="292"/>
      <c r="E23" s="293"/>
      <c r="F23" s="579"/>
      <c r="G23" s="45">
        <v>31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5">
        <v>31</v>
      </c>
      <c r="BQ23" s="20"/>
      <c r="BR23" s="45">
        <v>31</v>
      </c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5">
        <v>31</v>
      </c>
      <c r="EB23" s="579"/>
      <c r="EC23" s="43"/>
      <c r="ED23" s="43"/>
      <c r="EE23" s="43"/>
      <c r="EF23" s="43"/>
      <c r="EG23" s="43"/>
      <c r="EH23" s="43"/>
      <c r="EI23" s="43"/>
    </row>
    <row r="24" spans="2:139" x14ac:dyDescent="0.35">
      <c r="B24" s="294" t="s">
        <v>116</v>
      </c>
      <c r="C24" s="295" t="s">
        <v>117</v>
      </c>
      <c r="D24" s="295" t="s">
        <v>105</v>
      </c>
      <c r="E24" s="296" t="s">
        <v>11</v>
      </c>
      <c r="F24" s="579"/>
      <c r="G24" s="45">
        <v>30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5">
        <v>30</v>
      </c>
      <c r="BQ24" s="20"/>
      <c r="BR24" s="45">
        <v>30</v>
      </c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5">
        <v>30</v>
      </c>
      <c r="EB24" s="579"/>
      <c r="EC24" s="43"/>
      <c r="ED24" s="43"/>
      <c r="EE24" s="43"/>
      <c r="EF24" s="43"/>
      <c r="EG24" s="43"/>
      <c r="EH24" s="43"/>
      <c r="EI24" s="43"/>
    </row>
    <row r="25" spans="2:139" x14ac:dyDescent="0.35">
      <c r="B25" s="297">
        <v>3.9746300211416494E-2</v>
      </c>
      <c r="C25" s="298">
        <v>6.8892645815722742E-2</v>
      </c>
      <c r="D25" s="299">
        <f>C25-B25</f>
        <v>2.9146345604306248E-2</v>
      </c>
      <c r="E25" s="300">
        <f>1/D25</f>
        <v>34.309618556511396</v>
      </c>
      <c r="F25" s="579"/>
      <c r="G25" s="45">
        <v>29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5">
        <v>29</v>
      </c>
      <c r="BQ25" s="20"/>
      <c r="BR25" s="45">
        <v>29</v>
      </c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5">
        <v>29</v>
      </c>
      <c r="EB25" s="579"/>
      <c r="EC25" s="43"/>
      <c r="ED25" s="43"/>
      <c r="EE25" s="43"/>
      <c r="EF25" s="43"/>
      <c r="EG25" s="43"/>
      <c r="EH25" s="43"/>
      <c r="EI25" s="43"/>
    </row>
    <row r="26" spans="2:139" ht="15" thickBot="1" x14ac:dyDescent="0.4">
      <c r="B26" s="380" t="s">
        <v>143</v>
      </c>
      <c r="C26" s="328">
        <f>B25*E25</f>
        <v>1.363680399286288</v>
      </c>
      <c r="D26" s="301">
        <f>D25*E25</f>
        <v>1</v>
      </c>
      <c r="E26" s="327">
        <f>(1-C25)*E25</f>
        <v>31.945938157225108</v>
      </c>
      <c r="F26" s="579"/>
      <c r="G26" s="45">
        <v>28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5">
        <v>28</v>
      </c>
      <c r="BQ26" s="20"/>
      <c r="BR26" s="45">
        <v>28</v>
      </c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5">
        <v>28</v>
      </c>
      <c r="EB26" s="579"/>
      <c r="EC26" s="43"/>
      <c r="ED26" s="43"/>
      <c r="EE26" s="43"/>
      <c r="EF26" s="43"/>
      <c r="EG26" s="43"/>
      <c r="EH26" s="43"/>
      <c r="EI26" s="43"/>
    </row>
    <row r="27" spans="2:139" x14ac:dyDescent="0.35">
      <c r="G27" s="45">
        <v>27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5">
        <v>27</v>
      </c>
      <c r="BQ27" s="20"/>
      <c r="BR27" s="45">
        <v>27</v>
      </c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5">
        <v>27</v>
      </c>
      <c r="EB27"/>
      <c r="EC27" s="43"/>
      <c r="ED27" s="43"/>
      <c r="EE27" s="43"/>
      <c r="EF27" s="43"/>
      <c r="EG27" s="43"/>
      <c r="EH27" s="43"/>
      <c r="EI27" s="43"/>
    </row>
    <row r="28" spans="2:139" x14ac:dyDescent="0.35">
      <c r="G28" s="45">
        <v>26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5">
        <v>26</v>
      </c>
      <c r="BQ28" s="46"/>
      <c r="BR28" s="45">
        <v>26</v>
      </c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5">
        <v>26</v>
      </c>
      <c r="EB28" s="43"/>
      <c r="EC28" s="43"/>
      <c r="ED28" s="43"/>
      <c r="EE28" s="43"/>
      <c r="EF28" s="43"/>
      <c r="EG28" s="43"/>
      <c r="EH28" s="43"/>
      <c r="EI28" s="43"/>
    </row>
    <row r="29" spans="2:139" x14ac:dyDescent="0.35">
      <c r="G29" s="45">
        <v>25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5">
        <v>25</v>
      </c>
      <c r="BR29" s="45">
        <v>25</v>
      </c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5">
        <v>25</v>
      </c>
    </row>
    <row r="30" spans="2:139" x14ac:dyDescent="0.35">
      <c r="G30" s="45">
        <v>24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5">
        <v>24</v>
      </c>
      <c r="BR30" s="45">
        <v>24</v>
      </c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5">
        <v>24</v>
      </c>
    </row>
    <row r="31" spans="2:139" x14ac:dyDescent="0.35">
      <c r="G31" s="45">
        <v>23</v>
      </c>
      <c r="H31" s="346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5">
        <v>23</v>
      </c>
      <c r="BR31" s="45">
        <v>23</v>
      </c>
      <c r="BS31" s="346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5">
        <v>23</v>
      </c>
    </row>
    <row r="32" spans="2:139" x14ac:dyDescent="0.35">
      <c r="G32" s="45">
        <v>22</v>
      </c>
      <c r="H32" s="346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5">
        <v>22</v>
      </c>
      <c r="BR32" s="45">
        <v>22</v>
      </c>
      <c r="BS32" s="346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5">
        <v>22</v>
      </c>
    </row>
    <row r="33" spans="7:131" x14ac:dyDescent="0.35">
      <c r="G33" s="45">
        <v>21</v>
      </c>
      <c r="H33" s="346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5">
        <v>21</v>
      </c>
      <c r="BR33" s="45">
        <v>21</v>
      </c>
      <c r="BS33" s="346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5">
        <v>21</v>
      </c>
    </row>
    <row r="34" spans="7:131" x14ac:dyDescent="0.35">
      <c r="G34" s="45">
        <v>20</v>
      </c>
      <c r="H34" s="346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5">
        <v>20</v>
      </c>
      <c r="BR34" s="45">
        <v>20</v>
      </c>
      <c r="BS34" s="346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5">
        <v>20</v>
      </c>
    </row>
    <row r="35" spans="7:131" x14ac:dyDescent="0.35">
      <c r="G35" s="45">
        <v>19</v>
      </c>
      <c r="H35" s="346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5">
        <v>19</v>
      </c>
      <c r="BR35" s="45">
        <v>19</v>
      </c>
      <c r="BS35" s="346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5">
        <v>19</v>
      </c>
    </row>
    <row r="36" spans="7:131" x14ac:dyDescent="0.35">
      <c r="G36" s="45">
        <v>18</v>
      </c>
      <c r="H36" s="346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5">
        <v>18</v>
      </c>
      <c r="BR36" s="45">
        <v>18</v>
      </c>
      <c r="BS36" s="346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5">
        <v>18</v>
      </c>
    </row>
    <row r="37" spans="7:131" x14ac:dyDescent="0.35">
      <c r="G37" s="45">
        <v>17</v>
      </c>
      <c r="H37" s="346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5">
        <v>17</v>
      </c>
      <c r="BR37" s="45">
        <v>17</v>
      </c>
      <c r="BS37" s="346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5">
        <v>17</v>
      </c>
    </row>
    <row r="38" spans="7:131" x14ac:dyDescent="0.35">
      <c r="G38" s="45">
        <v>16</v>
      </c>
      <c r="H38" s="346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5">
        <v>16</v>
      </c>
      <c r="BR38" s="45">
        <v>16</v>
      </c>
      <c r="BS38" s="346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5">
        <v>16</v>
      </c>
    </row>
    <row r="39" spans="7:131" x14ac:dyDescent="0.35">
      <c r="G39" s="45">
        <v>15</v>
      </c>
      <c r="H39" s="346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5">
        <v>15</v>
      </c>
      <c r="BR39" s="45">
        <v>15</v>
      </c>
      <c r="BS39" s="346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5">
        <v>15</v>
      </c>
    </row>
    <row r="40" spans="7:131" x14ac:dyDescent="0.35">
      <c r="G40" s="45">
        <v>14</v>
      </c>
      <c r="H40" s="346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5">
        <v>14</v>
      </c>
      <c r="BR40" s="45">
        <v>14</v>
      </c>
      <c r="BS40" s="346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5">
        <v>14</v>
      </c>
    </row>
    <row r="41" spans="7:131" x14ac:dyDescent="0.35">
      <c r="G41" s="45">
        <v>13</v>
      </c>
      <c r="H41" s="346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5">
        <v>13</v>
      </c>
      <c r="BR41" s="45">
        <v>13</v>
      </c>
      <c r="BS41" s="346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5">
        <v>13</v>
      </c>
    </row>
    <row r="42" spans="7:131" x14ac:dyDescent="0.35">
      <c r="G42" s="45">
        <v>12</v>
      </c>
      <c r="H42" s="346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5">
        <v>12</v>
      </c>
      <c r="BR42" s="45">
        <v>12</v>
      </c>
      <c r="BS42" s="346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5">
        <v>12</v>
      </c>
    </row>
    <row r="43" spans="7:131" x14ac:dyDescent="0.35">
      <c r="G43" s="45">
        <v>11</v>
      </c>
      <c r="H43" s="346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5">
        <v>11</v>
      </c>
      <c r="BR43" s="45">
        <v>11</v>
      </c>
      <c r="BS43" s="346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5">
        <v>11</v>
      </c>
    </row>
    <row r="44" spans="7:131" x14ac:dyDescent="0.35">
      <c r="G44" s="45">
        <v>10</v>
      </c>
      <c r="H44" s="346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5">
        <v>10</v>
      </c>
      <c r="BR44" s="45">
        <v>10</v>
      </c>
      <c r="BS44" s="346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5">
        <v>10</v>
      </c>
    </row>
    <row r="45" spans="7:131" x14ac:dyDescent="0.35">
      <c r="G45" s="45">
        <v>9</v>
      </c>
      <c r="H45" s="346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5">
        <v>9</v>
      </c>
      <c r="BR45" s="45">
        <v>9</v>
      </c>
      <c r="BS45" s="346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5">
        <v>9</v>
      </c>
    </row>
    <row r="46" spans="7:131" x14ac:dyDescent="0.35">
      <c r="G46" s="45">
        <v>8</v>
      </c>
      <c r="H46" s="346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5">
        <v>8</v>
      </c>
      <c r="BR46" s="45">
        <v>8</v>
      </c>
      <c r="BS46" s="346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5">
        <v>8</v>
      </c>
    </row>
    <row r="47" spans="7:131" x14ac:dyDescent="0.35">
      <c r="G47" s="45">
        <v>7</v>
      </c>
      <c r="H47" s="346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5">
        <v>7</v>
      </c>
      <c r="BR47" s="45">
        <v>7</v>
      </c>
      <c r="BS47" s="346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5">
        <v>7</v>
      </c>
    </row>
    <row r="48" spans="7:131" x14ac:dyDescent="0.35">
      <c r="G48" s="45">
        <v>6</v>
      </c>
      <c r="H48" s="346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5">
        <v>6</v>
      </c>
      <c r="BR48" s="45">
        <v>6</v>
      </c>
      <c r="BS48" s="346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5">
        <v>6</v>
      </c>
    </row>
    <row r="49" spans="7:131" x14ac:dyDescent="0.35">
      <c r="G49" s="45">
        <v>5</v>
      </c>
      <c r="H49" s="346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5">
        <v>5</v>
      </c>
      <c r="BR49" s="45">
        <v>5</v>
      </c>
      <c r="BS49" s="346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5">
        <v>5</v>
      </c>
    </row>
    <row r="50" spans="7:131" x14ac:dyDescent="0.35">
      <c r="G50" s="45">
        <v>4</v>
      </c>
      <c r="H50" s="346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5">
        <v>4</v>
      </c>
      <c r="BR50" s="45">
        <v>4</v>
      </c>
      <c r="BS50" s="346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5">
        <v>4</v>
      </c>
    </row>
    <row r="51" spans="7:131" x14ac:dyDescent="0.35">
      <c r="G51" s="45">
        <v>3</v>
      </c>
      <c r="H51" s="346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5">
        <v>3</v>
      </c>
      <c r="BR51" s="45">
        <v>3</v>
      </c>
      <c r="BS51" s="346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5">
        <v>3</v>
      </c>
    </row>
    <row r="52" spans="7:131" x14ac:dyDescent="0.35">
      <c r="G52" s="45">
        <v>2</v>
      </c>
      <c r="H52" s="346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5">
        <v>2</v>
      </c>
      <c r="BR52" s="45">
        <v>2</v>
      </c>
      <c r="BS52" s="346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5">
        <v>2</v>
      </c>
    </row>
    <row r="53" spans="7:131" x14ac:dyDescent="0.35">
      <c r="G53" s="45">
        <v>1</v>
      </c>
      <c r="H53" s="346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5">
        <v>1</v>
      </c>
      <c r="BR53" s="45">
        <v>1</v>
      </c>
      <c r="BS53" s="346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5">
        <v>1</v>
      </c>
    </row>
    <row r="54" spans="7:131" x14ac:dyDescent="0.35">
      <c r="H54" s="438">
        <v>1</v>
      </c>
      <c r="I54" s="438">
        <v>2</v>
      </c>
      <c r="J54" s="438">
        <v>3</v>
      </c>
      <c r="K54" s="438">
        <v>4</v>
      </c>
      <c r="L54" s="438">
        <v>5</v>
      </c>
      <c r="M54" s="438">
        <v>6</v>
      </c>
      <c r="N54" s="438">
        <v>7</v>
      </c>
      <c r="O54" s="438">
        <v>8</v>
      </c>
      <c r="P54" s="438">
        <v>9</v>
      </c>
      <c r="Q54" s="438">
        <v>10</v>
      </c>
      <c r="R54" s="438">
        <v>11</v>
      </c>
      <c r="S54" s="438">
        <v>12</v>
      </c>
      <c r="T54" s="438">
        <v>13</v>
      </c>
      <c r="U54" s="438">
        <v>14</v>
      </c>
      <c r="V54" s="438">
        <v>15</v>
      </c>
      <c r="W54" s="438">
        <v>16</v>
      </c>
      <c r="X54" s="438">
        <v>17</v>
      </c>
      <c r="Y54" s="438">
        <v>18</v>
      </c>
      <c r="Z54" s="438">
        <v>19</v>
      </c>
      <c r="AA54" s="438">
        <v>20</v>
      </c>
      <c r="AB54" s="438">
        <v>21</v>
      </c>
      <c r="AC54" s="438">
        <v>22</v>
      </c>
      <c r="AD54" s="438">
        <v>23</v>
      </c>
      <c r="AE54" s="438">
        <v>24</v>
      </c>
      <c r="AF54" s="438">
        <v>25</v>
      </c>
      <c r="AG54" s="438">
        <v>26</v>
      </c>
      <c r="AH54" s="438">
        <v>27</v>
      </c>
      <c r="AI54" s="438">
        <v>28</v>
      </c>
      <c r="AJ54" s="438">
        <v>29</v>
      </c>
      <c r="AK54" s="438">
        <v>30</v>
      </c>
      <c r="AL54" s="438">
        <v>31</v>
      </c>
      <c r="AM54" s="438">
        <v>32</v>
      </c>
      <c r="AN54" s="438">
        <v>33</v>
      </c>
      <c r="AO54" s="438">
        <v>34</v>
      </c>
      <c r="AP54" s="438">
        <v>35</v>
      </c>
      <c r="AQ54" s="438">
        <v>36</v>
      </c>
      <c r="AR54" s="438">
        <v>37</v>
      </c>
      <c r="AS54" s="438">
        <v>38</v>
      </c>
      <c r="AT54" s="438">
        <v>39</v>
      </c>
      <c r="AU54" s="438">
        <v>40</v>
      </c>
      <c r="AV54" s="438">
        <v>41</v>
      </c>
      <c r="AW54" s="438">
        <v>42</v>
      </c>
      <c r="AX54" s="438">
        <v>43</v>
      </c>
      <c r="AY54" s="438">
        <v>44</v>
      </c>
      <c r="AZ54" s="438">
        <v>45</v>
      </c>
      <c r="BA54" s="438">
        <v>46</v>
      </c>
      <c r="BB54" s="438">
        <v>47</v>
      </c>
      <c r="BC54" s="438">
        <v>48</v>
      </c>
      <c r="BD54" s="438">
        <v>49</v>
      </c>
      <c r="BE54" s="438">
        <v>50</v>
      </c>
      <c r="BF54" s="438">
        <v>51</v>
      </c>
      <c r="BG54" s="438">
        <v>52</v>
      </c>
      <c r="BH54" s="438">
        <v>53</v>
      </c>
      <c r="BI54" s="438">
        <v>54</v>
      </c>
      <c r="BJ54" s="438">
        <v>55</v>
      </c>
      <c r="BK54" s="438">
        <v>56</v>
      </c>
      <c r="BL54" s="438">
        <v>57</v>
      </c>
      <c r="BM54" s="438">
        <v>58</v>
      </c>
      <c r="BN54" s="438">
        <v>59</v>
      </c>
      <c r="BO54" s="438">
        <v>60</v>
      </c>
      <c r="BP54" s="345"/>
      <c r="BQ54" s="345"/>
      <c r="BS54" s="438">
        <v>1</v>
      </c>
      <c r="BT54" s="438">
        <v>2</v>
      </c>
      <c r="BU54" s="438">
        <v>3</v>
      </c>
      <c r="BV54" s="438">
        <v>4</v>
      </c>
      <c r="BW54" s="438">
        <v>5</v>
      </c>
      <c r="BX54" s="438">
        <v>6</v>
      </c>
      <c r="BY54" s="438">
        <v>7</v>
      </c>
      <c r="BZ54" s="438">
        <v>8</v>
      </c>
      <c r="CA54" s="438">
        <v>9</v>
      </c>
      <c r="CB54" s="438">
        <v>10</v>
      </c>
      <c r="CC54" s="438">
        <v>11</v>
      </c>
      <c r="CD54" s="438">
        <v>12</v>
      </c>
      <c r="CE54" s="438">
        <v>13</v>
      </c>
      <c r="CF54" s="438">
        <v>14</v>
      </c>
      <c r="CG54" s="438">
        <v>15</v>
      </c>
      <c r="CH54" s="438">
        <v>16</v>
      </c>
      <c r="CI54" s="438">
        <v>17</v>
      </c>
      <c r="CJ54" s="438">
        <v>18</v>
      </c>
      <c r="CK54" s="438">
        <v>19</v>
      </c>
      <c r="CL54" s="438">
        <v>20</v>
      </c>
      <c r="CM54" s="438">
        <v>21</v>
      </c>
      <c r="CN54" s="438">
        <v>22</v>
      </c>
      <c r="CO54" s="438">
        <v>23</v>
      </c>
      <c r="CP54" s="438">
        <v>24</v>
      </c>
      <c r="CQ54" s="438">
        <v>25</v>
      </c>
      <c r="CR54" s="438">
        <v>26</v>
      </c>
      <c r="CS54" s="438">
        <v>27</v>
      </c>
      <c r="CT54" s="438">
        <v>28</v>
      </c>
      <c r="CU54" s="438">
        <v>29</v>
      </c>
      <c r="CV54" s="438">
        <v>30</v>
      </c>
      <c r="CW54" s="438">
        <v>31</v>
      </c>
      <c r="CX54" s="438">
        <v>32</v>
      </c>
      <c r="CY54" s="438">
        <v>33</v>
      </c>
      <c r="CZ54" s="438">
        <v>34</v>
      </c>
      <c r="DA54" s="438">
        <v>35</v>
      </c>
      <c r="DB54" s="438">
        <v>36</v>
      </c>
      <c r="DC54" s="438">
        <v>37</v>
      </c>
      <c r="DD54" s="438">
        <v>38</v>
      </c>
      <c r="DE54" s="438">
        <v>39</v>
      </c>
      <c r="DF54" s="438">
        <v>40</v>
      </c>
      <c r="DG54" s="438">
        <v>41</v>
      </c>
      <c r="DH54" s="438">
        <v>42</v>
      </c>
      <c r="DI54" s="438">
        <v>43</v>
      </c>
      <c r="DJ54" s="438">
        <v>44</v>
      </c>
      <c r="DK54" s="438">
        <v>45</v>
      </c>
      <c r="DL54" s="438">
        <v>46</v>
      </c>
      <c r="DM54" s="438">
        <v>47</v>
      </c>
      <c r="DN54" s="438">
        <v>48</v>
      </c>
      <c r="DO54" s="438">
        <v>49</v>
      </c>
      <c r="DP54" s="438">
        <v>50</v>
      </c>
      <c r="DQ54" s="438">
        <v>51</v>
      </c>
      <c r="DR54" s="438">
        <v>52</v>
      </c>
      <c r="DS54" s="438">
        <v>53</v>
      </c>
      <c r="DT54" s="438">
        <v>54</v>
      </c>
      <c r="DU54" s="438">
        <v>55</v>
      </c>
      <c r="DV54" s="438">
        <v>56</v>
      </c>
      <c r="DW54" s="438">
        <v>57</v>
      </c>
      <c r="DX54" s="438">
        <v>58</v>
      </c>
      <c r="DY54" s="438">
        <v>59</v>
      </c>
      <c r="DZ54" s="438">
        <v>60</v>
      </c>
    </row>
    <row r="55" spans="7:131" x14ac:dyDescent="0.35">
      <c r="H55" s="42" t="s">
        <v>145</v>
      </c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S55" s="42" t="s">
        <v>145</v>
      </c>
    </row>
    <row r="56" spans="7:131" x14ac:dyDescent="0.35">
      <c r="H56" s="42" t="s">
        <v>204</v>
      </c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1"/>
      <c r="BQ56" s="41"/>
      <c r="BR56" s="41"/>
      <c r="BS56" s="42" t="s">
        <v>205</v>
      </c>
    </row>
  </sheetData>
  <mergeCells count="7">
    <mergeCell ref="F20:F26"/>
    <mergeCell ref="EB20:EB26"/>
    <mergeCell ref="B4:EB4"/>
    <mergeCell ref="E9:E10"/>
    <mergeCell ref="D10:D11"/>
    <mergeCell ref="B15:C15"/>
    <mergeCell ref="G15:W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IncAcum</vt:lpstr>
      <vt:lpstr>Gr1.1 Ict-F 3x3</vt:lpstr>
      <vt:lpstr>Gr1.2 AIT 3x3</vt:lpstr>
      <vt:lpstr>Gr1.3 IAM-noF 3x3</vt:lpstr>
      <vt:lpstr>Gr1.3 Revasc 3x3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 Agustín Sánchez Robles</cp:lastModifiedBy>
  <dcterms:created xsi:type="dcterms:W3CDTF">2018-11-20T13:30:16Z</dcterms:created>
  <dcterms:modified xsi:type="dcterms:W3CDTF">2023-02-07T11:54:00Z</dcterms:modified>
</cp:coreProperties>
</file>