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30302-MA 5ECA, ICC [Glifl vs Pl]\13-Tablas M y M-nnt, MA 5ECA\"/>
    </mc:Choice>
  </mc:AlternateContent>
  <xr:revisionPtr revIDLastSave="0" documentId="13_ncr:1_{7875F4E5-C58F-4924-8C11-98A38897E3E2}" xr6:coauthVersionLast="36" xr6:coauthVersionMax="47" xr10:uidLastSave="{00000000-0000-0000-0000-000000000000}"/>
  <bookViews>
    <workbookView xWindow="-110" yWindow="-110" windowWidth="19420" windowHeight="10420" tabRatio="841" xr2:uid="{ED720975-825F-4932-9455-419E07D66D9E}"/>
  </bookViews>
  <sheets>
    <sheet name="M 1-3" sheetId="1" r:id="rId1"/>
    <sheet name="M1 11.11" sheetId="2" r:id="rId2"/>
    <sheet name="M2 11.11" sheetId="4" r:id="rId3"/>
    <sheet name="M3 11.11" sheetId="5" r:id="rId4"/>
    <sheet name="M1 11.01" sheetId="10" r:id="rId5"/>
    <sheet name="M2 11.01" sheetId="11" r:id="rId6"/>
    <sheet name="M3 11.01" sheetId="6" r:id="rId7"/>
    <sheet name="M1 11.10" sheetId="12" r:id="rId8"/>
    <sheet name="M2 11.10" sheetId="13" r:id="rId9"/>
    <sheet name="M3 11.10" sheetId="7" r:id="rId10"/>
    <sheet name="M3 10.01" sheetId="8" r:id="rId11"/>
    <sheet name="M3 10.10" sheetId="9" r:id="rId12"/>
    <sheet name="bast" sheetId="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C8" i="5"/>
  <c r="F7" i="5"/>
  <c r="C7" i="5"/>
  <c r="F6" i="5"/>
  <c r="C6" i="5"/>
  <c r="F5" i="5"/>
  <c r="C5" i="5"/>
  <c r="D96" i="1"/>
  <c r="G96" i="1"/>
  <c r="K96" i="1"/>
  <c r="N96" i="1" s="1"/>
  <c r="L96" i="1"/>
  <c r="M96" i="1" s="1"/>
  <c r="D86" i="1"/>
  <c r="G86" i="1"/>
  <c r="K86" i="1"/>
  <c r="N86" i="1" s="1"/>
  <c r="D55" i="1"/>
  <c r="G55" i="1"/>
  <c r="K55" i="1"/>
  <c r="N55" i="1" s="1"/>
  <c r="L55" i="1"/>
  <c r="M55" i="1" s="1"/>
  <c r="D23" i="1"/>
  <c r="G23" i="1"/>
  <c r="K23" i="1"/>
  <c r="N23" i="1" s="1"/>
  <c r="D11" i="1"/>
  <c r="G11" i="1"/>
  <c r="K11" i="1"/>
  <c r="N11" i="1" s="1"/>
  <c r="AE96" i="1" l="1"/>
  <c r="AI96" i="1"/>
  <c r="O96" i="1"/>
  <c r="R96" i="1"/>
  <c r="Q96" i="1"/>
  <c r="P96" i="1"/>
  <c r="Q86" i="1"/>
  <c r="P86" i="1"/>
  <c r="L86" i="1"/>
  <c r="M86" i="1" s="1"/>
  <c r="R86" i="1" s="1"/>
  <c r="L23" i="1"/>
  <c r="M23" i="1" s="1"/>
  <c r="AE23" i="1" s="1"/>
  <c r="AE55" i="1"/>
  <c r="AI55" i="1"/>
  <c r="R55" i="1"/>
  <c r="O55" i="1"/>
  <c r="Q55" i="1"/>
  <c r="P55" i="1"/>
  <c r="Q23" i="1"/>
  <c r="L11" i="1"/>
  <c r="M11" i="1" s="1"/>
  <c r="O11" i="1" s="1"/>
  <c r="P23" i="1"/>
  <c r="Q11" i="1"/>
  <c r="P11" i="1"/>
  <c r="AE86" i="1" l="1"/>
  <c r="O86" i="1"/>
  <c r="AI86" i="1"/>
  <c r="AE11" i="1"/>
  <c r="R11" i="1"/>
  <c r="AI23" i="1"/>
  <c r="R23" i="1"/>
  <c r="O23" i="1"/>
  <c r="AI11" i="1"/>
  <c r="F72" i="3" l="1"/>
  <c r="C72" i="3"/>
  <c r="F71" i="3"/>
  <c r="C71" i="3"/>
  <c r="F70" i="3"/>
  <c r="C70" i="3"/>
  <c r="F69" i="3"/>
  <c r="C69" i="3"/>
  <c r="F68" i="3"/>
  <c r="C68" i="3"/>
  <c r="F9" i="2"/>
  <c r="C9" i="2"/>
  <c r="F8" i="2"/>
  <c r="C8" i="2"/>
  <c r="F7" i="2"/>
  <c r="C7" i="2"/>
  <c r="F6" i="2"/>
  <c r="C6" i="2"/>
  <c r="F5" i="2"/>
  <c r="C5" i="2"/>
  <c r="G125" i="1" l="1"/>
  <c r="D125" i="1"/>
  <c r="G124" i="1"/>
  <c r="D124" i="1"/>
  <c r="G123" i="1"/>
  <c r="D123" i="1"/>
  <c r="G122" i="1"/>
  <c r="D122" i="1"/>
  <c r="H8" i="12" l="1"/>
  <c r="R37" i="13"/>
  <c r="J37" i="13"/>
  <c r="E37" i="13"/>
  <c r="B37" i="13"/>
  <c r="R36" i="13"/>
  <c r="J36" i="13"/>
  <c r="E36" i="13"/>
  <c r="B36" i="13"/>
  <c r="R35" i="13"/>
  <c r="J35" i="13"/>
  <c r="E35" i="13"/>
  <c r="B35" i="13"/>
  <c r="R34" i="13"/>
  <c r="R38" i="13" s="1"/>
  <c r="J34" i="13"/>
  <c r="E34" i="13"/>
  <c r="B38" i="13" s="1"/>
  <c r="B34" i="13"/>
  <c r="D24" i="13"/>
  <c r="D28" i="13" s="1"/>
  <c r="E22" i="13"/>
  <c r="E21" i="13"/>
  <c r="D21" i="13"/>
  <c r="E20" i="13"/>
  <c r="E24" i="13" s="1"/>
  <c r="E28" i="13" s="1"/>
  <c r="E17" i="13"/>
  <c r="F21" i="13" s="1"/>
  <c r="D17" i="13"/>
  <c r="F20" i="13" s="1"/>
  <c r="F15" i="13"/>
  <c r="E15" i="13"/>
  <c r="F17" i="13" s="1"/>
  <c r="D15" i="13"/>
  <c r="C21" i="13" s="1"/>
  <c r="C24" i="13" s="1"/>
  <c r="C28" i="13" s="1"/>
  <c r="G9" i="13"/>
  <c r="E9" i="13"/>
  <c r="Q9" i="13" s="1"/>
  <c r="H38" i="13" s="1"/>
  <c r="D9" i="13"/>
  <c r="B9" i="13"/>
  <c r="P9" i="13" s="1"/>
  <c r="F38" i="13" s="1"/>
  <c r="A9" i="13"/>
  <c r="Q8" i="13"/>
  <c r="H37" i="13" s="1"/>
  <c r="P8" i="13"/>
  <c r="F37" i="13" s="1"/>
  <c r="O8" i="13"/>
  <c r="J8" i="13"/>
  <c r="M8" i="13" s="1"/>
  <c r="I37" i="13" s="1"/>
  <c r="I8" i="13"/>
  <c r="L8" i="13" s="1"/>
  <c r="G37" i="13" s="1"/>
  <c r="F8" i="13"/>
  <c r="C8" i="13"/>
  <c r="Q7" i="13"/>
  <c r="H36" i="13" s="1"/>
  <c r="P7" i="13"/>
  <c r="F36" i="13" s="1"/>
  <c r="O7" i="13"/>
  <c r="L7" i="13"/>
  <c r="G36" i="13" s="1"/>
  <c r="J7" i="13"/>
  <c r="K7" i="13" s="1"/>
  <c r="I7" i="13"/>
  <c r="F7" i="13"/>
  <c r="C7" i="13"/>
  <c r="Q6" i="13"/>
  <c r="H35" i="13" s="1"/>
  <c r="P6" i="13"/>
  <c r="F35" i="13" s="1"/>
  <c r="O6" i="13"/>
  <c r="J6" i="13"/>
  <c r="M6" i="13" s="1"/>
  <c r="I35" i="13" s="1"/>
  <c r="I6" i="13"/>
  <c r="L6" i="13" s="1"/>
  <c r="G35" i="13" s="1"/>
  <c r="F6" i="13"/>
  <c r="C6" i="13"/>
  <c r="Q5" i="13"/>
  <c r="H34" i="13" s="1"/>
  <c r="P5" i="13"/>
  <c r="F34" i="13" s="1"/>
  <c r="O5" i="13"/>
  <c r="O9" i="13" s="1"/>
  <c r="N9" i="13" s="1"/>
  <c r="J38" i="13" s="1"/>
  <c r="H42" i="13" s="1"/>
  <c r="M5" i="13"/>
  <c r="I34" i="13" s="1"/>
  <c r="J5" i="13"/>
  <c r="J9" i="13" s="1"/>
  <c r="I5" i="13"/>
  <c r="L5" i="13" s="1"/>
  <c r="G34" i="13" s="1"/>
  <c r="F5" i="13"/>
  <c r="C5" i="13"/>
  <c r="B2" i="13"/>
  <c r="B31" i="13" s="1"/>
  <c r="R36" i="12"/>
  <c r="R35" i="12"/>
  <c r="J35" i="12"/>
  <c r="E35" i="12"/>
  <c r="B35" i="12"/>
  <c r="R34" i="12"/>
  <c r="J34" i="12"/>
  <c r="E34" i="12"/>
  <c r="B36" i="12" s="1"/>
  <c r="B34" i="12"/>
  <c r="R33" i="12"/>
  <c r="J33" i="12"/>
  <c r="E33" i="12"/>
  <c r="B33" i="12"/>
  <c r="G21" i="12"/>
  <c r="E21" i="12"/>
  <c r="F20" i="12"/>
  <c r="E20" i="12"/>
  <c r="D20" i="12"/>
  <c r="D23" i="12" s="1"/>
  <c r="D27" i="12" s="1"/>
  <c r="C20" i="12"/>
  <c r="C23" i="12" s="1"/>
  <c r="C27" i="12" s="1"/>
  <c r="E19" i="12"/>
  <c r="E23" i="12" s="1"/>
  <c r="E27" i="12" s="1"/>
  <c r="F17" i="12"/>
  <c r="F16" i="12"/>
  <c r="E17" i="12" s="1"/>
  <c r="G20" i="12" s="1"/>
  <c r="E16" i="12"/>
  <c r="D16" i="12"/>
  <c r="D17" i="12" s="1"/>
  <c r="G19" i="12" s="1"/>
  <c r="G23" i="12" s="1"/>
  <c r="G27" i="12" s="1"/>
  <c r="F14" i="12"/>
  <c r="E14" i="12"/>
  <c r="D14" i="12"/>
  <c r="P8" i="12"/>
  <c r="F36" i="12" s="1"/>
  <c r="O8" i="12"/>
  <c r="N8" i="12" s="1"/>
  <c r="J36" i="12" s="1"/>
  <c r="H40" i="12" s="1"/>
  <c r="G8" i="12"/>
  <c r="Q8" i="12" s="1"/>
  <c r="H36" i="12" s="1"/>
  <c r="E8" i="12"/>
  <c r="D8" i="12"/>
  <c r="B8" i="12"/>
  <c r="A8" i="12"/>
  <c r="Q7" i="12"/>
  <c r="H35" i="12" s="1"/>
  <c r="P7" i="12"/>
  <c r="F35" i="12" s="1"/>
  <c r="O7" i="12"/>
  <c r="M7" i="12"/>
  <c r="I35" i="12" s="1"/>
  <c r="K7" i="12"/>
  <c r="J7" i="12"/>
  <c r="I7" i="12"/>
  <c r="L7" i="12" s="1"/>
  <c r="G35" i="12" s="1"/>
  <c r="F7" i="12"/>
  <c r="C7" i="12"/>
  <c r="Q6" i="12"/>
  <c r="H34" i="12" s="1"/>
  <c r="P6" i="12"/>
  <c r="F34" i="12" s="1"/>
  <c r="O6" i="12"/>
  <c r="J6" i="12"/>
  <c r="M6" i="12" s="1"/>
  <c r="I34" i="12" s="1"/>
  <c r="I6" i="12"/>
  <c r="L6" i="12" s="1"/>
  <c r="G34" i="12" s="1"/>
  <c r="F6" i="12"/>
  <c r="C6" i="12"/>
  <c r="Q5" i="12"/>
  <c r="H33" i="12" s="1"/>
  <c r="P5" i="12"/>
  <c r="F33" i="12" s="1"/>
  <c r="O5" i="12"/>
  <c r="J5" i="12"/>
  <c r="M5" i="12" s="1"/>
  <c r="I33" i="12" s="1"/>
  <c r="I5" i="12"/>
  <c r="L5" i="12" s="1"/>
  <c r="G33" i="12" s="1"/>
  <c r="F5" i="12"/>
  <c r="C5" i="12"/>
  <c r="B2" i="12"/>
  <c r="B30" i="12" s="1"/>
  <c r="R35" i="11"/>
  <c r="J35" i="11"/>
  <c r="I35" i="11"/>
  <c r="H35" i="11"/>
  <c r="E35" i="11"/>
  <c r="B35" i="11"/>
  <c r="R34" i="11"/>
  <c r="J34" i="11"/>
  <c r="E34" i="11"/>
  <c r="B36" i="11" s="1"/>
  <c r="B34" i="11"/>
  <c r="R33" i="11"/>
  <c r="R36" i="11" s="1"/>
  <c r="J33" i="11"/>
  <c r="H33" i="11"/>
  <c r="E33" i="11"/>
  <c r="B33" i="11"/>
  <c r="D23" i="11"/>
  <c r="D27" i="11" s="1"/>
  <c r="C23" i="11"/>
  <c r="C27" i="11" s="1"/>
  <c r="E21" i="11"/>
  <c r="E20" i="11"/>
  <c r="D20" i="11"/>
  <c r="C20" i="11"/>
  <c r="E19" i="11"/>
  <c r="E23" i="11" s="1"/>
  <c r="E27" i="11" s="1"/>
  <c r="F16" i="11"/>
  <c r="E17" i="11" s="1"/>
  <c r="G20" i="11" s="1"/>
  <c r="E16" i="11"/>
  <c r="F17" i="11" s="1"/>
  <c r="G21" i="11" s="1"/>
  <c r="F14" i="11"/>
  <c r="E14" i="11"/>
  <c r="D14" i="11"/>
  <c r="D16" i="11" s="1"/>
  <c r="Q8" i="11"/>
  <c r="H36" i="11" s="1"/>
  <c r="P8" i="11"/>
  <c r="F36" i="11" s="1"/>
  <c r="I8" i="11"/>
  <c r="L8" i="11" s="1"/>
  <c r="G36" i="11" s="1"/>
  <c r="G8" i="11"/>
  <c r="E8" i="11"/>
  <c r="D8" i="11"/>
  <c r="B8" i="11"/>
  <c r="A8" i="11"/>
  <c r="Q7" i="11"/>
  <c r="P7" i="11"/>
  <c r="F35" i="11" s="1"/>
  <c r="O7" i="11"/>
  <c r="O8" i="11" s="1"/>
  <c r="N8" i="11" s="1"/>
  <c r="J36" i="11" s="1"/>
  <c r="H40" i="11" s="1"/>
  <c r="M7" i="11"/>
  <c r="K7" i="11"/>
  <c r="J7" i="11"/>
  <c r="I7" i="11"/>
  <c r="L7" i="11" s="1"/>
  <c r="G35" i="11" s="1"/>
  <c r="F7" i="11"/>
  <c r="C7" i="11"/>
  <c r="Q6" i="11"/>
  <c r="H34" i="11" s="1"/>
  <c r="P6" i="11"/>
  <c r="F34" i="11" s="1"/>
  <c r="O6" i="11"/>
  <c r="J6" i="11"/>
  <c r="M6" i="11" s="1"/>
  <c r="I34" i="11" s="1"/>
  <c r="I6" i="11"/>
  <c r="L6" i="11" s="1"/>
  <c r="G34" i="11" s="1"/>
  <c r="F6" i="11"/>
  <c r="C6" i="11"/>
  <c r="Q5" i="11"/>
  <c r="P5" i="11"/>
  <c r="F33" i="11" s="1"/>
  <c r="O5" i="11"/>
  <c r="J5" i="11"/>
  <c r="M5" i="11" s="1"/>
  <c r="I33" i="11" s="1"/>
  <c r="I5" i="11"/>
  <c r="L5" i="11" s="1"/>
  <c r="G33" i="11" s="1"/>
  <c r="F5" i="11"/>
  <c r="C5" i="11"/>
  <c r="B2" i="11"/>
  <c r="B30" i="11" s="1"/>
  <c r="B34" i="10"/>
  <c r="R33" i="10"/>
  <c r="J33" i="10"/>
  <c r="E33" i="10"/>
  <c r="B33" i="10"/>
  <c r="R32" i="10"/>
  <c r="R34" i="10" s="1"/>
  <c r="J32" i="10"/>
  <c r="E32" i="10"/>
  <c r="B32" i="10"/>
  <c r="B29" i="10"/>
  <c r="E20" i="10"/>
  <c r="E19" i="10"/>
  <c r="D19" i="10"/>
  <c r="D22" i="10" s="1"/>
  <c r="D26" i="10" s="1"/>
  <c r="E18" i="10"/>
  <c r="E22" i="10" s="1"/>
  <c r="E26" i="10" s="1"/>
  <c r="F13" i="10"/>
  <c r="E15" i="10" s="1"/>
  <c r="E13" i="10"/>
  <c r="F15" i="10" s="1"/>
  <c r="D13" i="10"/>
  <c r="C19" i="10" s="1"/>
  <c r="C22" i="10" s="1"/>
  <c r="C26" i="10" s="1"/>
  <c r="Q7" i="10"/>
  <c r="H34" i="10" s="1"/>
  <c r="G7" i="10"/>
  <c r="E7" i="10"/>
  <c r="D7" i="10"/>
  <c r="B7" i="10"/>
  <c r="P7" i="10" s="1"/>
  <c r="F34" i="10" s="1"/>
  <c r="A7" i="10"/>
  <c r="Q6" i="10"/>
  <c r="H33" i="10" s="1"/>
  <c r="P6" i="10"/>
  <c r="F33" i="10" s="1"/>
  <c r="O6" i="10"/>
  <c r="J6" i="10"/>
  <c r="M6" i="10" s="1"/>
  <c r="I33" i="10" s="1"/>
  <c r="I6" i="10"/>
  <c r="K6" i="10" s="1"/>
  <c r="F6" i="10"/>
  <c r="C6" i="10"/>
  <c r="Q5" i="10"/>
  <c r="H32" i="10" s="1"/>
  <c r="P5" i="10"/>
  <c r="F32" i="10" s="1"/>
  <c r="O5" i="10"/>
  <c r="O7" i="10" s="1"/>
  <c r="N7" i="10" s="1"/>
  <c r="J34" i="10" s="1"/>
  <c r="H38" i="10" s="1"/>
  <c r="J5" i="10"/>
  <c r="J7" i="10" s="1"/>
  <c r="M7" i="10" s="1"/>
  <c r="I34" i="10" s="1"/>
  <c r="I5" i="10"/>
  <c r="I7" i="10" s="1"/>
  <c r="L7" i="10" s="1"/>
  <c r="G34" i="10" s="1"/>
  <c r="F5" i="10"/>
  <c r="C5" i="10"/>
  <c r="B2" i="10"/>
  <c r="E18" i="13" l="1"/>
  <c r="G21" i="13" s="1"/>
  <c r="F22" i="13"/>
  <c r="F24" i="13" s="1"/>
  <c r="F28" i="13" s="1"/>
  <c r="K6" i="13"/>
  <c r="I9" i="13"/>
  <c r="L9" i="13" s="1"/>
  <c r="G38" i="13" s="1"/>
  <c r="M7" i="13"/>
  <c r="I36" i="13" s="1"/>
  <c r="D18" i="13"/>
  <c r="G20" i="13" s="1"/>
  <c r="F18" i="13"/>
  <c r="G22" i="13" s="1"/>
  <c r="K8" i="13"/>
  <c r="M9" i="13"/>
  <c r="I38" i="13" s="1"/>
  <c r="K5" i="13"/>
  <c r="K9" i="13" s="1"/>
  <c r="H9" i="13" s="1"/>
  <c r="E38" i="13" s="1"/>
  <c r="F19" i="12"/>
  <c r="K6" i="12"/>
  <c r="F21" i="12"/>
  <c r="K5" i="12"/>
  <c r="K8" i="12" s="1"/>
  <c r="E36" i="12" s="1"/>
  <c r="I8" i="12"/>
  <c r="L8" i="12" s="1"/>
  <c r="G36" i="12" s="1"/>
  <c r="J8" i="12"/>
  <c r="M8" i="12" s="1"/>
  <c r="I36" i="12" s="1"/>
  <c r="D17" i="11"/>
  <c r="G19" i="11" s="1"/>
  <c r="G23" i="11" s="1"/>
  <c r="G27" i="11" s="1"/>
  <c r="F19" i="11"/>
  <c r="K5" i="11"/>
  <c r="K8" i="11" s="1"/>
  <c r="H8" i="11" s="1"/>
  <c r="E36" i="11" s="1"/>
  <c r="K6" i="11"/>
  <c r="F20" i="11"/>
  <c r="F21" i="11"/>
  <c r="J8" i="11"/>
  <c r="M8" i="11" s="1"/>
  <c r="I36" i="11" s="1"/>
  <c r="C38" i="10"/>
  <c r="A10" i="10"/>
  <c r="E16" i="10"/>
  <c r="G19" i="10" s="1"/>
  <c r="F20" i="10"/>
  <c r="F16" i="10"/>
  <c r="G20" i="10" s="1"/>
  <c r="F19" i="10"/>
  <c r="K5" i="10"/>
  <c r="K7" i="10" s="1"/>
  <c r="H7" i="10" s="1"/>
  <c r="E34" i="10" s="1"/>
  <c r="M5" i="10"/>
  <c r="I32" i="10" s="1"/>
  <c r="D15" i="10"/>
  <c r="L5" i="10"/>
  <c r="G32" i="10" s="1"/>
  <c r="L6" i="10"/>
  <c r="G33" i="10" s="1"/>
  <c r="G24" i="13" l="1"/>
  <c r="G28" i="13" s="1"/>
  <c r="A13" i="13"/>
  <c r="G43" i="13"/>
  <c r="J46" i="13" s="1"/>
  <c r="A12" i="13"/>
  <c r="C43" i="13"/>
  <c r="C42" i="13"/>
  <c r="C41" i="12"/>
  <c r="A11" i="12"/>
  <c r="C40" i="12"/>
  <c r="G41" i="12"/>
  <c r="J44" i="12" s="1"/>
  <c r="A12" i="12"/>
  <c r="F23" i="12"/>
  <c r="F27" i="12" s="1"/>
  <c r="F23" i="11"/>
  <c r="F27" i="11" s="1"/>
  <c r="C41" i="11"/>
  <c r="A11" i="11"/>
  <c r="A25" i="11" s="1"/>
  <c r="C40" i="11"/>
  <c r="G41" i="11"/>
  <c r="J44" i="11" s="1"/>
  <c r="A12" i="11"/>
  <c r="G39" i="10"/>
  <c r="J42" i="10" s="1"/>
  <c r="A11" i="10"/>
  <c r="F18" i="10"/>
  <c r="F22" i="10" s="1"/>
  <c r="F26" i="10" s="1"/>
  <c r="D16" i="10"/>
  <c r="G18" i="10" s="1"/>
  <c r="G22" i="10" s="1"/>
  <c r="G26" i="10" s="1"/>
  <c r="A24" i="10"/>
  <c r="C39" i="10"/>
  <c r="A26" i="13" l="1"/>
  <c r="J48" i="13"/>
  <c r="K46" i="13"/>
  <c r="K48" i="13" s="1"/>
  <c r="J46" i="12"/>
  <c r="K44" i="12"/>
  <c r="K46" i="12" s="1"/>
  <c r="A25" i="12"/>
  <c r="J46" i="11"/>
  <c r="K44" i="11"/>
  <c r="K46" i="11" s="1"/>
  <c r="K42" i="10"/>
  <c r="K44" i="10" s="1"/>
  <c r="J44" i="10"/>
  <c r="L44" i="10" s="1"/>
  <c r="L46" i="12" l="1"/>
  <c r="L48" i="13"/>
  <c r="L46" i="11"/>
  <c r="F6" i="9" l="1"/>
  <c r="C6" i="9"/>
  <c r="F5" i="9"/>
  <c r="C5" i="9"/>
  <c r="F7" i="7" l="1"/>
  <c r="C7" i="7"/>
  <c r="F6" i="7"/>
  <c r="C6" i="7"/>
  <c r="F5" i="7"/>
  <c r="C5" i="7"/>
  <c r="I8" i="5" l="1"/>
  <c r="L8" i="5" s="1"/>
  <c r="G37" i="5" s="1"/>
  <c r="J8" i="5"/>
  <c r="M8" i="5" s="1"/>
  <c r="I37" i="5" s="1"/>
  <c r="K8" i="5"/>
  <c r="O8" i="5"/>
  <c r="P8" i="5"/>
  <c r="F37" i="5" s="1"/>
  <c r="Q8" i="5"/>
  <c r="H37" i="5" s="1"/>
  <c r="B37" i="5"/>
  <c r="E37" i="5"/>
  <c r="J37" i="5"/>
  <c r="R37" i="5"/>
  <c r="D12" i="1" l="1"/>
  <c r="G12" i="1"/>
  <c r="K12" i="1"/>
  <c r="N12" i="1" s="1"/>
  <c r="L12" i="1" l="1"/>
  <c r="M12" i="1" s="1"/>
  <c r="AI12" i="1" s="1"/>
  <c r="P12" i="1"/>
  <c r="Q12" i="1"/>
  <c r="A7" i="9"/>
  <c r="Q6" i="9"/>
  <c r="H33" i="9" s="1"/>
  <c r="P6" i="9"/>
  <c r="F33" i="9" s="1"/>
  <c r="Q5" i="9"/>
  <c r="H32" i="9" s="1"/>
  <c r="P5" i="9"/>
  <c r="F32" i="9" s="1"/>
  <c r="R33" i="9"/>
  <c r="J33" i="9"/>
  <c r="E33" i="9"/>
  <c r="B33" i="9"/>
  <c r="R32" i="9"/>
  <c r="J32" i="9"/>
  <c r="E32" i="9"/>
  <c r="B34" i="9" s="1"/>
  <c r="B32" i="9"/>
  <c r="E20" i="9"/>
  <c r="E19" i="9"/>
  <c r="D19" i="9"/>
  <c r="D22" i="9" s="1"/>
  <c r="E18" i="9"/>
  <c r="F13" i="9"/>
  <c r="E15" i="9" s="1"/>
  <c r="E13" i="9"/>
  <c r="F15" i="9" s="1"/>
  <c r="D13" i="9"/>
  <c r="C19" i="9" s="1"/>
  <c r="C22" i="9" s="1"/>
  <c r="G7" i="9"/>
  <c r="E7" i="9"/>
  <c r="D7" i="9"/>
  <c r="B7" i="9"/>
  <c r="O6" i="9"/>
  <c r="J6" i="9"/>
  <c r="M6" i="9" s="1"/>
  <c r="I33" i="9" s="1"/>
  <c r="I6" i="9"/>
  <c r="O5" i="9"/>
  <c r="J5" i="9"/>
  <c r="M5" i="9" s="1"/>
  <c r="I32" i="9" s="1"/>
  <c r="I5" i="9"/>
  <c r="L5" i="9" s="1"/>
  <c r="G32" i="9" s="1"/>
  <c r="B2" i="9"/>
  <c r="B29" i="9" s="1"/>
  <c r="AE12" i="1" l="1"/>
  <c r="R12" i="1"/>
  <c r="E22" i="9"/>
  <c r="E26" i="9" s="1"/>
  <c r="P7" i="9"/>
  <c r="F34" i="9" s="1"/>
  <c r="Q7" i="9"/>
  <c r="H34" i="9" s="1"/>
  <c r="O12" i="1"/>
  <c r="C26" i="9"/>
  <c r="D26" i="9"/>
  <c r="I7" i="9"/>
  <c r="L7" i="9" s="1"/>
  <c r="G34" i="9" s="1"/>
  <c r="R34" i="9"/>
  <c r="O7" i="9"/>
  <c r="N7" i="9" s="1"/>
  <c r="J34" i="9" s="1"/>
  <c r="H38" i="9" s="1"/>
  <c r="F20" i="9"/>
  <c r="E16" i="9"/>
  <c r="G19" i="9" s="1"/>
  <c r="F19" i="9"/>
  <c r="F16" i="9"/>
  <c r="G20" i="9" s="1"/>
  <c r="J7" i="9"/>
  <c r="M7" i="9" s="1"/>
  <c r="I34" i="9" s="1"/>
  <c r="K6" i="9"/>
  <c r="D15" i="9"/>
  <c r="L6" i="9"/>
  <c r="G33" i="9" s="1"/>
  <c r="K5" i="9"/>
  <c r="F6" i="8"/>
  <c r="C6" i="8"/>
  <c r="F5" i="8"/>
  <c r="C5" i="8"/>
  <c r="R33" i="8"/>
  <c r="J33" i="8"/>
  <c r="E33" i="8"/>
  <c r="B33" i="8"/>
  <c r="R32" i="8"/>
  <c r="R34" i="8" s="1"/>
  <c r="J32" i="8"/>
  <c r="E32" i="8"/>
  <c r="B34" i="8" s="1"/>
  <c r="B32" i="8"/>
  <c r="E20" i="8"/>
  <c r="E19" i="8"/>
  <c r="D19" i="8"/>
  <c r="D22" i="8" s="1"/>
  <c r="D26" i="8" s="1"/>
  <c r="E18" i="8"/>
  <c r="F13" i="8"/>
  <c r="E15" i="8" s="1"/>
  <c r="F16" i="8" s="1"/>
  <c r="G20" i="8" s="1"/>
  <c r="E13" i="8"/>
  <c r="F15" i="8" s="1"/>
  <c r="D13" i="8"/>
  <c r="D15" i="8" s="1"/>
  <c r="D16" i="8" s="1"/>
  <c r="G18" i="8" s="1"/>
  <c r="G7" i="8"/>
  <c r="E7" i="8"/>
  <c r="D7" i="8"/>
  <c r="B7" i="8"/>
  <c r="A7" i="8"/>
  <c r="Q6" i="8"/>
  <c r="H33" i="8" s="1"/>
  <c r="P6" i="8"/>
  <c r="F33" i="8" s="1"/>
  <c r="O6" i="8"/>
  <c r="J6" i="8"/>
  <c r="M6" i="8" s="1"/>
  <c r="I33" i="8" s="1"/>
  <c r="I6" i="8"/>
  <c r="L6" i="8" s="1"/>
  <c r="G33" i="8" s="1"/>
  <c r="Q5" i="8"/>
  <c r="H32" i="8" s="1"/>
  <c r="P5" i="8"/>
  <c r="F32" i="8" s="1"/>
  <c r="O5" i="8"/>
  <c r="J5" i="8"/>
  <c r="M5" i="8" s="1"/>
  <c r="I32" i="8" s="1"/>
  <c r="I5" i="8"/>
  <c r="L5" i="8" s="1"/>
  <c r="G32" i="8" s="1"/>
  <c r="B2" i="8"/>
  <c r="B29" i="8" s="1"/>
  <c r="G114" i="1"/>
  <c r="D114" i="1"/>
  <c r="G113" i="1"/>
  <c r="D113" i="1"/>
  <c r="G105" i="1"/>
  <c r="D105" i="1"/>
  <c r="G104" i="1"/>
  <c r="D104" i="1"/>
  <c r="K104" i="1"/>
  <c r="N104" i="1" s="1"/>
  <c r="K105" i="1"/>
  <c r="Q105" i="1" s="1"/>
  <c r="A10" i="9" l="1"/>
  <c r="C38" i="9"/>
  <c r="K7" i="9"/>
  <c r="H7" i="9" s="1"/>
  <c r="E34" i="9" s="1"/>
  <c r="F18" i="9"/>
  <c r="D16" i="9"/>
  <c r="G18" i="9" s="1"/>
  <c r="C19" i="8"/>
  <c r="C22" i="8" s="1"/>
  <c r="C26" i="8" s="1"/>
  <c r="O7" i="8"/>
  <c r="N7" i="8" s="1"/>
  <c r="J34" i="8" s="1"/>
  <c r="H38" i="8" s="1"/>
  <c r="P7" i="8"/>
  <c r="F34" i="8" s="1"/>
  <c r="Q7" i="8"/>
  <c r="H34" i="8" s="1"/>
  <c r="E22" i="8"/>
  <c r="E26" i="8" s="1"/>
  <c r="E16" i="8"/>
  <c r="G19" i="8" s="1"/>
  <c r="G22" i="8" s="1"/>
  <c r="G26" i="8" s="1"/>
  <c r="F20" i="8"/>
  <c r="F18" i="8"/>
  <c r="K6" i="8"/>
  <c r="F19" i="8"/>
  <c r="I7" i="8"/>
  <c r="L7" i="8" s="1"/>
  <c r="G34" i="8" s="1"/>
  <c r="J7" i="8"/>
  <c r="M7" i="8" s="1"/>
  <c r="I34" i="8" s="1"/>
  <c r="K5" i="8"/>
  <c r="L105" i="1"/>
  <c r="M105" i="1" s="1"/>
  <c r="AE105" i="1" s="1"/>
  <c r="Q104" i="1"/>
  <c r="L104" i="1"/>
  <c r="M104" i="1" s="1"/>
  <c r="AI104" i="1" s="1"/>
  <c r="N105" i="1"/>
  <c r="P105" i="1"/>
  <c r="P104" i="1"/>
  <c r="F22" i="9" l="1"/>
  <c r="F26" i="9" s="1"/>
  <c r="G22" i="9"/>
  <c r="G26" i="9" s="1"/>
  <c r="A11" i="9"/>
  <c r="G39" i="9"/>
  <c r="J42" i="9" s="1"/>
  <c r="C39" i="9"/>
  <c r="A24" i="9"/>
  <c r="F22" i="8"/>
  <c r="F26" i="8" s="1"/>
  <c r="C38" i="8"/>
  <c r="A10" i="8"/>
  <c r="K7" i="8"/>
  <c r="H7" i="8" s="1"/>
  <c r="E34" i="8" s="1"/>
  <c r="R105" i="1"/>
  <c r="AI105" i="1"/>
  <c r="O105" i="1"/>
  <c r="R104" i="1"/>
  <c r="O104" i="1"/>
  <c r="AE104" i="1"/>
  <c r="J44" i="9" l="1"/>
  <c r="K42" i="9"/>
  <c r="K44" i="9" s="1"/>
  <c r="G39" i="8"/>
  <c r="J42" i="8" s="1"/>
  <c r="A11" i="8"/>
  <c r="A24" i="8" s="1"/>
  <c r="C39" i="8"/>
  <c r="L44" i="9" l="1"/>
  <c r="J44" i="8"/>
  <c r="K42" i="8"/>
  <c r="K44" i="8" s="1"/>
  <c r="L44" i="8" l="1"/>
  <c r="C7" i="6" l="1"/>
  <c r="F7" i="6"/>
  <c r="I7" i="6"/>
  <c r="J7" i="6"/>
  <c r="K7" i="6"/>
  <c r="L7" i="6"/>
  <c r="M7" i="6"/>
  <c r="O7" i="6"/>
  <c r="P7" i="6"/>
  <c r="Q7" i="6"/>
  <c r="R35" i="7" l="1"/>
  <c r="J35" i="7"/>
  <c r="E35" i="7"/>
  <c r="B35" i="7"/>
  <c r="R34" i="7"/>
  <c r="J34" i="7"/>
  <c r="E34" i="7"/>
  <c r="B34" i="7"/>
  <c r="R33" i="7"/>
  <c r="J33" i="7"/>
  <c r="E33" i="7"/>
  <c r="B33" i="7"/>
  <c r="E21" i="7"/>
  <c r="E20" i="7"/>
  <c r="D20" i="7"/>
  <c r="D23" i="7" s="1"/>
  <c r="D27" i="7" s="1"/>
  <c r="E19" i="7"/>
  <c r="F14" i="7"/>
  <c r="E16" i="7" s="1"/>
  <c r="E14" i="7"/>
  <c r="F16" i="7" s="1"/>
  <c r="E17" i="7" s="1"/>
  <c r="G20" i="7" s="1"/>
  <c r="D14" i="7"/>
  <c r="D16" i="7" s="1"/>
  <c r="G8" i="7"/>
  <c r="E8" i="7"/>
  <c r="D8" i="7"/>
  <c r="B8" i="7"/>
  <c r="A8" i="7"/>
  <c r="Q7" i="7"/>
  <c r="H35" i="7" s="1"/>
  <c r="P7" i="7"/>
  <c r="F35" i="7" s="1"/>
  <c r="O7" i="7"/>
  <c r="J7" i="7"/>
  <c r="M7" i="7" s="1"/>
  <c r="I35" i="7" s="1"/>
  <c r="I7" i="7"/>
  <c r="L7" i="7" s="1"/>
  <c r="G35" i="7" s="1"/>
  <c r="Q6" i="7"/>
  <c r="H34" i="7" s="1"/>
  <c r="P6" i="7"/>
  <c r="F34" i="7" s="1"/>
  <c r="O6" i="7"/>
  <c r="J6" i="7"/>
  <c r="M6" i="7" s="1"/>
  <c r="I34" i="7" s="1"/>
  <c r="I6" i="7"/>
  <c r="Q5" i="7"/>
  <c r="H33" i="7" s="1"/>
  <c r="P5" i="7"/>
  <c r="F33" i="7" s="1"/>
  <c r="O5" i="7"/>
  <c r="J5" i="7"/>
  <c r="M5" i="7" s="1"/>
  <c r="I33" i="7" s="1"/>
  <c r="I5" i="7"/>
  <c r="B2" i="7"/>
  <c r="B30" i="7" s="1"/>
  <c r="P8" i="7" l="1"/>
  <c r="F36" i="7" s="1"/>
  <c r="C20" i="7"/>
  <c r="C23" i="7" s="1"/>
  <c r="C27" i="7" s="1"/>
  <c r="K5" i="7"/>
  <c r="R36" i="7"/>
  <c r="O8" i="7"/>
  <c r="N8" i="7" s="1"/>
  <c r="J36" i="7" s="1"/>
  <c r="H40" i="7" s="1"/>
  <c r="E23" i="7"/>
  <c r="E27" i="7" s="1"/>
  <c r="J8" i="7"/>
  <c r="M8" i="7" s="1"/>
  <c r="I36" i="7" s="1"/>
  <c r="F21" i="7"/>
  <c r="L5" i="7"/>
  <c r="G33" i="7" s="1"/>
  <c r="Q8" i="7"/>
  <c r="H36" i="7" s="1"/>
  <c r="B36" i="7"/>
  <c r="I8" i="7"/>
  <c r="L8" i="7" s="1"/>
  <c r="G36" i="7" s="1"/>
  <c r="D17" i="7"/>
  <c r="G19" i="7" s="1"/>
  <c r="F19" i="7"/>
  <c r="F17" i="7"/>
  <c r="G21" i="7" s="1"/>
  <c r="F20" i="7"/>
  <c r="K7" i="7"/>
  <c r="L6" i="7"/>
  <c r="G34" i="7" s="1"/>
  <c r="K6" i="7"/>
  <c r="G23" i="7" l="1"/>
  <c r="G27" i="7" s="1"/>
  <c r="K8" i="7"/>
  <c r="H8" i="7" s="1"/>
  <c r="C40" i="7"/>
  <c r="A11" i="7"/>
  <c r="F23" i="7"/>
  <c r="F27" i="7" s="1"/>
  <c r="E36" i="7" l="1"/>
  <c r="G41" i="7" s="1"/>
  <c r="J44" i="7" s="1"/>
  <c r="C41" i="7"/>
  <c r="A12" i="7"/>
  <c r="A25" i="7" s="1"/>
  <c r="J46" i="7"/>
  <c r="K44" i="7"/>
  <c r="K46" i="7" s="1"/>
  <c r="L46" i="7" l="1"/>
  <c r="F6" i="6" l="1"/>
  <c r="C6" i="6"/>
  <c r="F5" i="6"/>
  <c r="C5" i="6"/>
  <c r="H35" i="6"/>
  <c r="D8" i="6"/>
  <c r="F35" i="6"/>
  <c r="R35" i="6"/>
  <c r="J35" i="6"/>
  <c r="E35" i="6"/>
  <c r="R34" i="6"/>
  <c r="J34" i="6"/>
  <c r="E34" i="6"/>
  <c r="B34" i="6"/>
  <c r="R33" i="6"/>
  <c r="J33" i="6"/>
  <c r="E33" i="6"/>
  <c r="B33" i="6"/>
  <c r="E21" i="6"/>
  <c r="E20" i="6"/>
  <c r="D20" i="6"/>
  <c r="D23" i="6" s="1"/>
  <c r="D27" i="6" s="1"/>
  <c r="E19" i="6"/>
  <c r="F14" i="6"/>
  <c r="E16" i="6" s="1"/>
  <c r="E14" i="6"/>
  <c r="F16" i="6" s="1"/>
  <c r="D14" i="6"/>
  <c r="D16" i="6" s="1"/>
  <c r="G8" i="6"/>
  <c r="E8" i="6"/>
  <c r="A8" i="6"/>
  <c r="I35" i="6"/>
  <c r="G35" i="6"/>
  <c r="Q6" i="6"/>
  <c r="H34" i="6" s="1"/>
  <c r="P6" i="6"/>
  <c r="F34" i="6" s="1"/>
  <c r="O6" i="6"/>
  <c r="J6" i="6"/>
  <c r="M6" i="6" s="1"/>
  <c r="I34" i="6" s="1"/>
  <c r="I6" i="6"/>
  <c r="L6" i="6" s="1"/>
  <c r="G34" i="6" s="1"/>
  <c r="Q5" i="6"/>
  <c r="H33" i="6" s="1"/>
  <c r="P5" i="6"/>
  <c r="F33" i="6" s="1"/>
  <c r="O5" i="6"/>
  <c r="J5" i="6"/>
  <c r="M5" i="6" s="1"/>
  <c r="I33" i="6" s="1"/>
  <c r="I5" i="6"/>
  <c r="B2" i="6"/>
  <c r="B30" i="6" s="1"/>
  <c r="D65" i="1"/>
  <c r="G65" i="1"/>
  <c r="K65" i="1"/>
  <c r="N65" i="1" s="1"/>
  <c r="Q8" i="6" l="1"/>
  <c r="H36" i="6" s="1"/>
  <c r="R36" i="6"/>
  <c r="F21" i="6"/>
  <c r="E17" i="6"/>
  <c r="G20" i="6" s="1"/>
  <c r="E23" i="6"/>
  <c r="E27" i="6" s="1"/>
  <c r="B36" i="6"/>
  <c r="O8" i="6"/>
  <c r="N8" i="6" s="1"/>
  <c r="J36" i="6" s="1"/>
  <c r="H40" i="6" s="1"/>
  <c r="B8" i="6"/>
  <c r="P8" i="6" s="1"/>
  <c r="F36" i="6" s="1"/>
  <c r="J8" i="6"/>
  <c r="M8" i="6" s="1"/>
  <c r="I36" i="6" s="1"/>
  <c r="C40" i="6" s="1"/>
  <c r="B35" i="6"/>
  <c r="I8" i="6"/>
  <c r="D17" i="6"/>
  <c r="G19" i="6" s="1"/>
  <c r="F19" i="6"/>
  <c r="F17" i="6"/>
  <c r="G21" i="6" s="1"/>
  <c r="F20" i="6"/>
  <c r="K6" i="6"/>
  <c r="C20" i="6"/>
  <c r="C23" i="6" s="1"/>
  <c r="C27" i="6" s="1"/>
  <c r="K5" i="6"/>
  <c r="L5" i="6"/>
  <c r="G33" i="6" s="1"/>
  <c r="L65" i="1"/>
  <c r="M65" i="1" s="1"/>
  <c r="AE65" i="1" s="1"/>
  <c r="Q65" i="1"/>
  <c r="P65" i="1"/>
  <c r="D75" i="1"/>
  <c r="G75" i="1"/>
  <c r="K75" i="1"/>
  <c r="N75" i="1" s="1"/>
  <c r="D76" i="1"/>
  <c r="G76" i="1"/>
  <c r="K76" i="1"/>
  <c r="N76" i="1" s="1"/>
  <c r="G23" i="6" l="1"/>
  <c r="G27" i="6" s="1"/>
  <c r="F23" i="6"/>
  <c r="F27" i="6" s="1"/>
  <c r="K8" i="6"/>
  <c r="H8" i="6" s="1"/>
  <c r="E36" i="6" s="1"/>
  <c r="A12" i="6" s="1"/>
  <c r="A11" i="6"/>
  <c r="L8" i="6"/>
  <c r="G36" i="6" s="1"/>
  <c r="R65" i="1"/>
  <c r="O65" i="1"/>
  <c r="AI65" i="1"/>
  <c r="L75" i="1"/>
  <c r="M75" i="1" s="1"/>
  <c r="AE75" i="1" s="1"/>
  <c r="L76" i="1"/>
  <c r="M76" i="1" s="1"/>
  <c r="AI76" i="1" s="1"/>
  <c r="Q76" i="1"/>
  <c r="P76" i="1"/>
  <c r="Q75" i="1"/>
  <c r="P75" i="1"/>
  <c r="G54" i="1"/>
  <c r="D54" i="1"/>
  <c r="G95" i="1"/>
  <c r="D95" i="1"/>
  <c r="G74" i="1"/>
  <c r="D74" i="1"/>
  <c r="G85" i="1"/>
  <c r="D85" i="1"/>
  <c r="G64" i="1"/>
  <c r="D64" i="1"/>
  <c r="AI75" i="1" l="1"/>
  <c r="AE76" i="1"/>
  <c r="R76" i="1"/>
  <c r="O75" i="1"/>
  <c r="A25" i="6"/>
  <c r="G41" i="6"/>
  <c r="J44" i="6" s="1"/>
  <c r="K44" i="6" s="1"/>
  <c r="K46" i="6" s="1"/>
  <c r="C41" i="6"/>
  <c r="J46" i="6"/>
  <c r="R75" i="1"/>
  <c r="O76" i="1"/>
  <c r="G94" i="1"/>
  <c r="D94" i="1"/>
  <c r="G73" i="1"/>
  <c r="D73" i="1"/>
  <c r="G84" i="1"/>
  <c r="D84" i="1"/>
  <c r="G63" i="1"/>
  <c r="D63" i="1"/>
  <c r="L46" i="6" l="1"/>
  <c r="R35" i="2" l="1"/>
  <c r="R36" i="5"/>
  <c r="J36" i="5"/>
  <c r="E36" i="5"/>
  <c r="B36" i="5"/>
  <c r="R35" i="5"/>
  <c r="J35" i="5"/>
  <c r="E35" i="5"/>
  <c r="B35" i="5"/>
  <c r="R34" i="5"/>
  <c r="J34" i="5"/>
  <c r="E34" i="5"/>
  <c r="B34" i="5"/>
  <c r="E22" i="5"/>
  <c r="E21" i="5"/>
  <c r="D21" i="5"/>
  <c r="D24" i="5" s="1"/>
  <c r="D28" i="5" s="1"/>
  <c r="E20" i="5"/>
  <c r="F15" i="5"/>
  <c r="E17" i="5" s="1"/>
  <c r="E15" i="5"/>
  <c r="F17" i="5" s="1"/>
  <c r="D15" i="5"/>
  <c r="D17" i="5" s="1"/>
  <c r="G9" i="5"/>
  <c r="E9" i="5"/>
  <c r="D9" i="5"/>
  <c r="B9" i="5"/>
  <c r="A9" i="5"/>
  <c r="Q7" i="5"/>
  <c r="H36" i="5" s="1"/>
  <c r="P7" i="5"/>
  <c r="F36" i="5" s="1"/>
  <c r="O7" i="5"/>
  <c r="J7" i="5"/>
  <c r="M7" i="5" s="1"/>
  <c r="I36" i="5" s="1"/>
  <c r="I7" i="5"/>
  <c r="L7" i="5" s="1"/>
  <c r="G36" i="5" s="1"/>
  <c r="Q6" i="5"/>
  <c r="H35" i="5" s="1"/>
  <c r="P6" i="5"/>
  <c r="F35" i="5" s="1"/>
  <c r="O6" i="5"/>
  <c r="J6" i="5"/>
  <c r="M6" i="5" s="1"/>
  <c r="I35" i="5" s="1"/>
  <c r="I6" i="5"/>
  <c r="L6" i="5" s="1"/>
  <c r="G35" i="5" s="1"/>
  <c r="Q5" i="5"/>
  <c r="H34" i="5" s="1"/>
  <c r="P5" i="5"/>
  <c r="F34" i="5" s="1"/>
  <c r="O5" i="5"/>
  <c r="J5" i="5"/>
  <c r="M5" i="5" s="1"/>
  <c r="I34" i="5" s="1"/>
  <c r="I5" i="5"/>
  <c r="B2" i="5"/>
  <c r="B31" i="5" s="1"/>
  <c r="K50" i="4"/>
  <c r="L50" i="4" s="1"/>
  <c r="J50" i="4"/>
  <c r="F9" i="4"/>
  <c r="C9" i="4"/>
  <c r="F8" i="4"/>
  <c r="C8" i="4"/>
  <c r="F7" i="4"/>
  <c r="C7" i="4"/>
  <c r="F6" i="4"/>
  <c r="C6" i="4"/>
  <c r="F5" i="4"/>
  <c r="C5" i="4"/>
  <c r="R39" i="4"/>
  <c r="J39" i="4"/>
  <c r="E39" i="4"/>
  <c r="B39" i="4"/>
  <c r="R38" i="4"/>
  <c r="J38" i="4"/>
  <c r="E38" i="4"/>
  <c r="B38" i="4"/>
  <c r="R37" i="4"/>
  <c r="J37" i="4"/>
  <c r="E37" i="4"/>
  <c r="B37" i="4"/>
  <c r="R36" i="4"/>
  <c r="J36" i="4"/>
  <c r="E36" i="4"/>
  <c r="B36" i="4"/>
  <c r="R35" i="4"/>
  <c r="J35" i="4"/>
  <c r="E35" i="4"/>
  <c r="B40" i="4" s="1"/>
  <c r="B35" i="4"/>
  <c r="E23" i="4"/>
  <c r="E22" i="4"/>
  <c r="D22" i="4"/>
  <c r="D25" i="4" s="1"/>
  <c r="D29" i="4" s="1"/>
  <c r="E21" i="4"/>
  <c r="D18" i="4"/>
  <c r="F21" i="4" s="1"/>
  <c r="F16" i="4"/>
  <c r="E18" i="4" s="1"/>
  <c r="F19" i="4" s="1"/>
  <c r="G23" i="4" s="1"/>
  <c r="E16" i="4"/>
  <c r="F18" i="4" s="1"/>
  <c r="D16" i="4"/>
  <c r="C22" i="4" s="1"/>
  <c r="C25" i="4" s="1"/>
  <c r="C29" i="4" s="1"/>
  <c r="G10" i="4"/>
  <c r="E10" i="4"/>
  <c r="D10" i="4"/>
  <c r="B10" i="4"/>
  <c r="A10" i="4"/>
  <c r="Q9" i="4"/>
  <c r="H39" i="4" s="1"/>
  <c r="P9" i="4"/>
  <c r="F39" i="4" s="1"/>
  <c r="O9" i="4"/>
  <c r="J9" i="4"/>
  <c r="M9" i="4" s="1"/>
  <c r="I39" i="4" s="1"/>
  <c r="I9" i="4"/>
  <c r="Q8" i="4"/>
  <c r="H38" i="4" s="1"/>
  <c r="P8" i="4"/>
  <c r="F38" i="4" s="1"/>
  <c r="O8" i="4"/>
  <c r="J8" i="4"/>
  <c r="M8" i="4" s="1"/>
  <c r="I38" i="4" s="1"/>
  <c r="I8" i="4"/>
  <c r="L8" i="4" s="1"/>
  <c r="G38" i="4" s="1"/>
  <c r="Q7" i="4"/>
  <c r="H37" i="4" s="1"/>
  <c r="P7" i="4"/>
  <c r="F37" i="4" s="1"/>
  <c r="O7" i="4"/>
  <c r="J7" i="4"/>
  <c r="M7" i="4" s="1"/>
  <c r="I37" i="4" s="1"/>
  <c r="I7" i="4"/>
  <c r="L7" i="4" s="1"/>
  <c r="G37" i="4" s="1"/>
  <c r="Q6" i="4"/>
  <c r="H36" i="4" s="1"/>
  <c r="P6" i="4"/>
  <c r="F36" i="4" s="1"/>
  <c r="O6" i="4"/>
  <c r="M6" i="4"/>
  <c r="I36" i="4" s="1"/>
  <c r="J6" i="4"/>
  <c r="I6" i="4"/>
  <c r="L6" i="4" s="1"/>
  <c r="G36" i="4" s="1"/>
  <c r="Q5" i="4"/>
  <c r="H35" i="4" s="1"/>
  <c r="P5" i="4"/>
  <c r="F35" i="4" s="1"/>
  <c r="O5" i="4"/>
  <c r="M5" i="4"/>
  <c r="I35" i="4" s="1"/>
  <c r="J5" i="4"/>
  <c r="I5" i="4"/>
  <c r="L5" i="4" s="1"/>
  <c r="G35" i="4" s="1"/>
  <c r="B2" i="4"/>
  <c r="B32" i="4" s="1"/>
  <c r="Q9" i="5" l="1"/>
  <c r="H38" i="5" s="1"/>
  <c r="B38" i="5"/>
  <c r="R40" i="4"/>
  <c r="R38" i="5"/>
  <c r="E24" i="5"/>
  <c r="E28" i="5" s="1"/>
  <c r="I9" i="5"/>
  <c r="L9" i="5" s="1"/>
  <c r="G38" i="5" s="1"/>
  <c r="J9" i="5"/>
  <c r="M9" i="5" s="1"/>
  <c r="I38" i="5" s="1"/>
  <c r="C42" i="5" s="1"/>
  <c r="O9" i="5"/>
  <c r="N9" i="5" s="1"/>
  <c r="J38" i="5" s="1"/>
  <c r="H42" i="5" s="1"/>
  <c r="E18" i="5"/>
  <c r="G21" i="5" s="1"/>
  <c r="F22" i="5"/>
  <c r="D18" i="5"/>
  <c r="G20" i="5" s="1"/>
  <c r="F20" i="5"/>
  <c r="F18" i="5"/>
  <c r="G22" i="5" s="1"/>
  <c r="F21" i="5"/>
  <c r="K6" i="5"/>
  <c r="P9" i="5"/>
  <c r="F38" i="5" s="1"/>
  <c r="C21" i="5"/>
  <c r="C24" i="5" s="1"/>
  <c r="C28" i="5" s="1"/>
  <c r="K7" i="5"/>
  <c r="K5" i="5"/>
  <c r="L5" i="5"/>
  <c r="G34" i="5" s="1"/>
  <c r="E25" i="4"/>
  <c r="E29" i="4" s="1"/>
  <c r="D19" i="4"/>
  <c r="G21" i="4" s="1"/>
  <c r="F23" i="4"/>
  <c r="E19" i="4"/>
  <c r="G22" i="4" s="1"/>
  <c r="J10" i="4"/>
  <c r="Q10" i="4"/>
  <c r="H40" i="4" s="1"/>
  <c r="K9" i="4"/>
  <c r="M10" i="4"/>
  <c r="I40" i="4" s="1"/>
  <c r="O10" i="4"/>
  <c r="N10" i="4" s="1"/>
  <c r="J40" i="4" s="1"/>
  <c r="H44" i="4" s="1"/>
  <c r="P10" i="4"/>
  <c r="F40" i="4" s="1"/>
  <c r="C44" i="4"/>
  <c r="A13" i="4"/>
  <c r="I10" i="4"/>
  <c r="L10" i="4" s="1"/>
  <c r="G40" i="4" s="1"/>
  <c r="L9" i="4"/>
  <c r="G39" i="4" s="1"/>
  <c r="K6" i="4"/>
  <c r="K7" i="4"/>
  <c r="K8" i="4"/>
  <c r="F22" i="4"/>
  <c r="K5" i="4"/>
  <c r="K10" i="4" s="1"/>
  <c r="H10" i="4" s="1"/>
  <c r="F24" i="5" l="1"/>
  <c r="F28" i="5" s="1"/>
  <c r="K9" i="5"/>
  <c r="H9" i="5" s="1"/>
  <c r="E38" i="5" s="1"/>
  <c r="A13" i="5" s="1"/>
  <c r="A12" i="5"/>
  <c r="G24" i="5"/>
  <c r="G28" i="5" s="1"/>
  <c r="G25" i="4"/>
  <c r="G29" i="4" s="1"/>
  <c r="F25" i="4"/>
  <c r="F29" i="4" s="1"/>
  <c r="E40" i="4"/>
  <c r="A26" i="5" l="1"/>
  <c r="G43" i="5"/>
  <c r="J46" i="5" s="1"/>
  <c r="J48" i="5" s="1"/>
  <c r="C43" i="5"/>
  <c r="G45" i="4"/>
  <c r="J48" i="4" s="1"/>
  <c r="A14" i="4"/>
  <c r="A27" i="4" s="1"/>
  <c r="C45" i="4"/>
  <c r="K46" i="5" l="1"/>
  <c r="K48" i="5" s="1"/>
  <c r="L48" i="5" s="1"/>
  <c r="K48" i="4"/>
  <c r="G36" i="1" l="1"/>
  <c r="D36" i="1"/>
  <c r="G25" i="1"/>
  <c r="D25" i="1"/>
  <c r="G35" i="1" l="1"/>
  <c r="D35" i="1"/>
  <c r="G24" i="1"/>
  <c r="D24" i="1"/>
  <c r="G34" i="1" l="1"/>
  <c r="D34" i="1"/>
  <c r="G22" i="1"/>
  <c r="D22" i="1"/>
  <c r="G33" i="1" l="1"/>
  <c r="D33" i="1"/>
  <c r="G21" i="1"/>
  <c r="D21" i="1"/>
  <c r="H21" i="3" l="1"/>
  <c r="H20" i="3"/>
  <c r="C13" i="3"/>
  <c r="E7" i="3"/>
  <c r="D40" i="3" s="1"/>
  <c r="C7" i="3"/>
  <c r="C54" i="3" s="1"/>
  <c r="E6" i="3"/>
  <c r="C6" i="3"/>
  <c r="B54" i="3" s="1"/>
  <c r="R39" i="2"/>
  <c r="J39" i="2"/>
  <c r="E39" i="2"/>
  <c r="B39" i="2"/>
  <c r="R38" i="2"/>
  <c r="J38" i="2"/>
  <c r="E38" i="2"/>
  <c r="B38" i="2"/>
  <c r="R37" i="2"/>
  <c r="J37" i="2"/>
  <c r="E37" i="2"/>
  <c r="B37" i="2"/>
  <c r="R36" i="2"/>
  <c r="J36" i="2"/>
  <c r="E36" i="2"/>
  <c r="B36" i="2"/>
  <c r="J35" i="2"/>
  <c r="E35" i="2"/>
  <c r="B35" i="2"/>
  <c r="E23" i="2"/>
  <c r="E22" i="2"/>
  <c r="D22" i="2"/>
  <c r="D25" i="2" s="1"/>
  <c r="D29" i="2" s="1"/>
  <c r="E21" i="2"/>
  <c r="F16" i="2"/>
  <c r="E18" i="2" s="1"/>
  <c r="F22" i="2" s="1"/>
  <c r="E16" i="2"/>
  <c r="F18" i="2" s="1"/>
  <c r="D16" i="2"/>
  <c r="C22" i="2" s="1"/>
  <c r="C25" i="2" s="1"/>
  <c r="C29" i="2" s="1"/>
  <c r="G10" i="2"/>
  <c r="E10" i="2"/>
  <c r="D10" i="2"/>
  <c r="B10" i="2"/>
  <c r="A10" i="2"/>
  <c r="Q9" i="2"/>
  <c r="H39" i="2" s="1"/>
  <c r="P9" i="2"/>
  <c r="F39" i="2" s="1"/>
  <c r="O9" i="2"/>
  <c r="J9" i="2"/>
  <c r="M9" i="2" s="1"/>
  <c r="I39" i="2" s="1"/>
  <c r="I9" i="2"/>
  <c r="L9" i="2" s="1"/>
  <c r="G39" i="2" s="1"/>
  <c r="Q8" i="2"/>
  <c r="H38" i="2" s="1"/>
  <c r="P8" i="2"/>
  <c r="F38" i="2" s="1"/>
  <c r="O8" i="2"/>
  <c r="J8" i="2"/>
  <c r="M8" i="2" s="1"/>
  <c r="I38" i="2" s="1"/>
  <c r="I8" i="2"/>
  <c r="L8" i="2" s="1"/>
  <c r="G38" i="2" s="1"/>
  <c r="Q7" i="2"/>
  <c r="H37" i="2" s="1"/>
  <c r="P7" i="2"/>
  <c r="F37" i="2" s="1"/>
  <c r="O7" i="2"/>
  <c r="J7" i="2"/>
  <c r="M7" i="2" s="1"/>
  <c r="I37" i="2" s="1"/>
  <c r="I7" i="2"/>
  <c r="Q6" i="2"/>
  <c r="H36" i="2" s="1"/>
  <c r="P6" i="2"/>
  <c r="F36" i="2" s="1"/>
  <c r="O6" i="2"/>
  <c r="J6" i="2"/>
  <c r="M6" i="2" s="1"/>
  <c r="I36" i="2" s="1"/>
  <c r="I6" i="2"/>
  <c r="L6" i="2" s="1"/>
  <c r="G36" i="2" s="1"/>
  <c r="Q5" i="2"/>
  <c r="H35" i="2" s="1"/>
  <c r="P5" i="2"/>
  <c r="F35" i="2" s="1"/>
  <c r="O5" i="2"/>
  <c r="J5" i="2"/>
  <c r="M5" i="2" s="1"/>
  <c r="I35" i="2" s="1"/>
  <c r="I5" i="2"/>
  <c r="B2" i="2"/>
  <c r="B32" i="2" s="1"/>
  <c r="AS183" i="1"/>
  <c r="AY181" i="1"/>
  <c r="BJ181" i="1" s="1"/>
  <c r="BL181" i="1" s="1"/>
  <c r="AB181" i="1"/>
  <c r="AP183" i="1" s="1"/>
  <c r="H181" i="1"/>
  <c r="F181" i="1"/>
  <c r="E181" i="1"/>
  <c r="C181" i="1"/>
  <c r="K180" i="1"/>
  <c r="N180" i="1" s="1"/>
  <c r="G180" i="1"/>
  <c r="D180" i="1"/>
  <c r="K179" i="1"/>
  <c r="N179" i="1" s="1"/>
  <c r="G179" i="1"/>
  <c r="D179" i="1"/>
  <c r="AS174" i="1"/>
  <c r="AY172" i="1"/>
  <c r="BF172" i="1" s="1"/>
  <c r="AB172" i="1"/>
  <c r="AP174" i="1" s="1"/>
  <c r="H172" i="1"/>
  <c r="F172" i="1"/>
  <c r="E172" i="1"/>
  <c r="C172" i="1"/>
  <c r="K171" i="1"/>
  <c r="N171" i="1" s="1"/>
  <c r="G171" i="1"/>
  <c r="D171" i="1"/>
  <c r="K170" i="1"/>
  <c r="Q170" i="1" s="1"/>
  <c r="G170" i="1"/>
  <c r="D170" i="1"/>
  <c r="K169" i="1"/>
  <c r="N169" i="1" s="1"/>
  <c r="G169" i="1"/>
  <c r="D169" i="1"/>
  <c r="AS164" i="1"/>
  <c r="AY162" i="1"/>
  <c r="AB162" i="1"/>
  <c r="AP164" i="1" s="1"/>
  <c r="H162" i="1"/>
  <c r="F162" i="1"/>
  <c r="E162" i="1"/>
  <c r="C162" i="1"/>
  <c r="K161" i="1"/>
  <c r="N161" i="1" s="1"/>
  <c r="G161" i="1"/>
  <c r="D161" i="1"/>
  <c r="K160" i="1"/>
  <c r="P160" i="1" s="1"/>
  <c r="G160" i="1"/>
  <c r="D160" i="1"/>
  <c r="K159" i="1"/>
  <c r="P159" i="1" s="1"/>
  <c r="Q159" i="1" s="1"/>
  <c r="G159" i="1"/>
  <c r="D159" i="1"/>
  <c r="K158" i="1"/>
  <c r="P158" i="1" s="1"/>
  <c r="Q158" i="1" s="1"/>
  <c r="G158" i="1"/>
  <c r="D158" i="1"/>
  <c r="AS153" i="1"/>
  <c r="AY151" i="1"/>
  <c r="BJ151" i="1" s="1"/>
  <c r="BL151" i="1" s="1"/>
  <c r="AB151" i="1"/>
  <c r="AP153" i="1" s="1"/>
  <c r="H151" i="1"/>
  <c r="F151" i="1"/>
  <c r="E151" i="1"/>
  <c r="C151" i="1"/>
  <c r="K150" i="1"/>
  <c r="G150" i="1"/>
  <c r="D150" i="1"/>
  <c r="K149" i="1"/>
  <c r="P149" i="1" s="1"/>
  <c r="G149" i="1"/>
  <c r="D149" i="1"/>
  <c r="K148" i="1"/>
  <c r="P148" i="1" s="1"/>
  <c r="G148" i="1"/>
  <c r="D148" i="1"/>
  <c r="K147" i="1"/>
  <c r="Q147" i="1" s="1"/>
  <c r="G147" i="1"/>
  <c r="D147" i="1"/>
  <c r="K146" i="1"/>
  <c r="N146" i="1" s="1"/>
  <c r="G146" i="1"/>
  <c r="D146" i="1"/>
  <c r="AS141" i="1"/>
  <c r="AY139" i="1"/>
  <c r="BI139" i="1" s="1"/>
  <c r="BK139" i="1" s="1"/>
  <c r="AB139" i="1"/>
  <c r="AP141" i="1" s="1"/>
  <c r="H139" i="1"/>
  <c r="F139" i="1"/>
  <c r="E139" i="1"/>
  <c r="C139" i="1"/>
  <c r="K138" i="1"/>
  <c r="N138" i="1" s="1"/>
  <c r="G138" i="1"/>
  <c r="D138" i="1"/>
  <c r="K137" i="1"/>
  <c r="P137" i="1" s="1"/>
  <c r="G137" i="1"/>
  <c r="D137" i="1"/>
  <c r="K136" i="1"/>
  <c r="N136" i="1" s="1"/>
  <c r="G136" i="1"/>
  <c r="D136" i="1"/>
  <c r="K135" i="1"/>
  <c r="Q135" i="1" s="1"/>
  <c r="G135" i="1"/>
  <c r="D135" i="1"/>
  <c r="K134" i="1"/>
  <c r="P134" i="1" s="1"/>
  <c r="G134" i="1"/>
  <c r="D134" i="1"/>
  <c r="K133" i="1"/>
  <c r="G133" i="1"/>
  <c r="D133" i="1"/>
  <c r="AS128" i="1"/>
  <c r="AY126" i="1"/>
  <c r="BH126" i="1" s="1"/>
  <c r="AB126" i="1"/>
  <c r="AP128" i="1" s="1"/>
  <c r="H126" i="1"/>
  <c r="F126" i="1"/>
  <c r="E126" i="1"/>
  <c r="C126" i="1"/>
  <c r="K125" i="1"/>
  <c r="N125" i="1" s="1"/>
  <c r="K124" i="1"/>
  <c r="N124" i="1" s="1"/>
  <c r="K123" i="1"/>
  <c r="P123" i="1" s="1"/>
  <c r="K122" i="1"/>
  <c r="AS117" i="1"/>
  <c r="AY115" i="1"/>
  <c r="BH115" i="1" s="1"/>
  <c r="AB115" i="1"/>
  <c r="AP117" i="1" s="1"/>
  <c r="H115" i="1"/>
  <c r="F115" i="1"/>
  <c r="E115" i="1"/>
  <c r="C115" i="1"/>
  <c r="K114" i="1"/>
  <c r="Q114" i="1" s="1"/>
  <c r="K113" i="1"/>
  <c r="Q113" i="1" s="1"/>
  <c r="AS108" i="1"/>
  <c r="AY106" i="1"/>
  <c r="BH106" i="1" s="1"/>
  <c r="AB106" i="1"/>
  <c r="AP108" i="1" s="1"/>
  <c r="H106" i="1"/>
  <c r="F106" i="1"/>
  <c r="E106" i="1"/>
  <c r="C106" i="1"/>
  <c r="AS99" i="1"/>
  <c r="AY97" i="1"/>
  <c r="BF97" i="1" s="1"/>
  <c r="AB97" i="1"/>
  <c r="AP99" i="1" s="1"/>
  <c r="H97" i="1"/>
  <c r="F97" i="1"/>
  <c r="E97" i="1"/>
  <c r="C97" i="1"/>
  <c r="K95" i="1"/>
  <c r="N95" i="1" s="1"/>
  <c r="K94" i="1"/>
  <c r="P94" i="1" s="1"/>
  <c r="AS89" i="1"/>
  <c r="AY87" i="1"/>
  <c r="BF87" i="1" s="1"/>
  <c r="AB87" i="1"/>
  <c r="AP89" i="1" s="1"/>
  <c r="H87" i="1"/>
  <c r="F87" i="1"/>
  <c r="E87" i="1"/>
  <c r="C87" i="1"/>
  <c r="K85" i="1"/>
  <c r="Q85" i="1" s="1"/>
  <c r="K84" i="1"/>
  <c r="Q84" i="1" s="1"/>
  <c r="AS79" i="1"/>
  <c r="AY77" i="1"/>
  <c r="AB77" i="1"/>
  <c r="AP79" i="1" s="1"/>
  <c r="H77" i="1"/>
  <c r="F77" i="1"/>
  <c r="E77" i="1"/>
  <c r="C77" i="1"/>
  <c r="K74" i="1"/>
  <c r="N74" i="1" s="1"/>
  <c r="K73" i="1"/>
  <c r="N73" i="1" s="1"/>
  <c r="AS68" i="1"/>
  <c r="AY66" i="1"/>
  <c r="BJ66" i="1" s="1"/>
  <c r="BL66" i="1" s="1"/>
  <c r="AB66" i="1"/>
  <c r="AP68" i="1" s="1"/>
  <c r="H66" i="1"/>
  <c r="F66" i="1"/>
  <c r="E66" i="1"/>
  <c r="C66" i="1"/>
  <c r="K64" i="1"/>
  <c r="N64" i="1" s="1"/>
  <c r="K63" i="1"/>
  <c r="P63" i="1" s="1"/>
  <c r="AS58" i="1"/>
  <c r="AY56" i="1"/>
  <c r="BF56" i="1" s="1"/>
  <c r="AB56" i="1"/>
  <c r="AP58" i="1" s="1"/>
  <c r="H56" i="1"/>
  <c r="F56" i="1"/>
  <c r="E56" i="1"/>
  <c r="C56" i="1"/>
  <c r="K54" i="1"/>
  <c r="K53" i="1"/>
  <c r="G53" i="1"/>
  <c r="D53" i="1"/>
  <c r="AS48" i="1"/>
  <c r="AY46" i="1"/>
  <c r="BJ46" i="1" s="1"/>
  <c r="BL46" i="1" s="1"/>
  <c r="AB46" i="1"/>
  <c r="AP48" i="1" s="1"/>
  <c r="H46" i="1"/>
  <c r="F46" i="1"/>
  <c r="E46" i="1"/>
  <c r="C46" i="1"/>
  <c r="K45" i="1"/>
  <c r="Q45" i="1" s="1"/>
  <c r="G45" i="1"/>
  <c r="D45" i="1"/>
  <c r="K44" i="1"/>
  <c r="N44" i="1" s="1"/>
  <c r="G44" i="1"/>
  <c r="D44" i="1"/>
  <c r="AS39" i="1"/>
  <c r="AY37" i="1"/>
  <c r="BI37" i="1" s="1"/>
  <c r="BK37" i="1" s="1"/>
  <c r="AB37" i="1"/>
  <c r="AP39" i="1" s="1"/>
  <c r="H37" i="1"/>
  <c r="F37" i="1"/>
  <c r="E37" i="1"/>
  <c r="C37" i="1"/>
  <c r="K36" i="1"/>
  <c r="L35" i="1"/>
  <c r="M35" i="1" s="1"/>
  <c r="K35" i="1"/>
  <c r="Q35" i="1" s="1"/>
  <c r="K34" i="1"/>
  <c r="P34" i="1" s="1"/>
  <c r="L34" i="1"/>
  <c r="M34" i="1" s="1"/>
  <c r="R34" i="1" s="1"/>
  <c r="K33" i="1"/>
  <c r="N33" i="1" s="1"/>
  <c r="AS28" i="1"/>
  <c r="AY26" i="1"/>
  <c r="BJ26" i="1" s="1"/>
  <c r="BL26" i="1" s="1"/>
  <c r="AB26" i="1"/>
  <c r="AP28" i="1" s="1"/>
  <c r="H26" i="1"/>
  <c r="F26" i="1"/>
  <c r="E26" i="1"/>
  <c r="C26" i="1"/>
  <c r="K25" i="1"/>
  <c r="P25" i="1" s="1"/>
  <c r="L25" i="1"/>
  <c r="M25" i="1" s="1"/>
  <c r="AE25" i="1" s="1"/>
  <c r="K24" i="1"/>
  <c r="K22" i="1"/>
  <c r="Q22" i="1" s="1"/>
  <c r="L22" i="1"/>
  <c r="M22" i="1" s="1"/>
  <c r="K21" i="1"/>
  <c r="Q21" i="1" s="1"/>
  <c r="L21" i="1"/>
  <c r="M21" i="1" s="1"/>
  <c r="AS16" i="1"/>
  <c r="AY14" i="1"/>
  <c r="BH14" i="1" s="1"/>
  <c r="AB14" i="1"/>
  <c r="AP16" i="1" s="1"/>
  <c r="H14" i="1"/>
  <c r="F14" i="1"/>
  <c r="E14" i="1"/>
  <c r="C14" i="1"/>
  <c r="K13" i="1"/>
  <c r="N13" i="1" s="1"/>
  <c r="Z13" i="1" s="1"/>
  <c r="G13" i="1"/>
  <c r="D13" i="1"/>
  <c r="K10" i="1"/>
  <c r="G10" i="1"/>
  <c r="D10" i="1"/>
  <c r="K9" i="1"/>
  <c r="P9" i="1" s="1"/>
  <c r="G9" i="1"/>
  <c r="D9" i="1"/>
  <c r="H2" i="1"/>
  <c r="S96" i="1" l="1"/>
  <c r="AQ96" i="1"/>
  <c r="AQ86" i="1"/>
  <c r="S86" i="1"/>
  <c r="S55" i="1"/>
  <c r="AQ55" i="1"/>
  <c r="AQ23" i="1"/>
  <c r="S23" i="1"/>
  <c r="S11" i="1"/>
  <c r="AQ11" i="1"/>
  <c r="S12" i="1"/>
  <c r="AQ12" i="1"/>
  <c r="AQ104" i="1"/>
  <c r="AQ105" i="1"/>
  <c r="S104" i="1"/>
  <c r="S105" i="1"/>
  <c r="F88" i="1"/>
  <c r="F98" i="1"/>
  <c r="AQ65" i="1"/>
  <c r="S65" i="1"/>
  <c r="S76" i="1"/>
  <c r="S75" i="1"/>
  <c r="AQ75" i="1"/>
  <c r="AQ76" i="1"/>
  <c r="L134" i="1"/>
  <c r="M134" i="1" s="1"/>
  <c r="R134" i="1" s="1"/>
  <c r="E8" i="3"/>
  <c r="D18" i="2"/>
  <c r="F21" i="2" s="1"/>
  <c r="K7" i="2"/>
  <c r="L85" i="1"/>
  <c r="M85" i="1" s="1"/>
  <c r="AI85" i="1" s="1"/>
  <c r="L122" i="1"/>
  <c r="M122" i="1" s="1"/>
  <c r="R122" i="1" s="1"/>
  <c r="L113" i="1"/>
  <c r="M113" i="1" s="1"/>
  <c r="BH66" i="1"/>
  <c r="L114" i="1"/>
  <c r="M114" i="1" s="1"/>
  <c r="AE114" i="1" s="1"/>
  <c r="S34" i="1"/>
  <c r="U34" i="1" s="1"/>
  <c r="W34" i="1" s="1"/>
  <c r="B151" i="1"/>
  <c r="G181" i="1"/>
  <c r="BH97" i="1"/>
  <c r="Q95" i="1"/>
  <c r="L138" i="1"/>
  <c r="M138" i="1" s="1"/>
  <c r="O138" i="1" s="1"/>
  <c r="L73" i="1"/>
  <c r="M73" i="1" s="1"/>
  <c r="R73" i="1" s="1"/>
  <c r="N158" i="1"/>
  <c r="N160" i="1"/>
  <c r="L74" i="1"/>
  <c r="M74" i="1" s="1"/>
  <c r="AI74" i="1" s="1"/>
  <c r="BJ106" i="1"/>
  <c r="BL106" i="1" s="1"/>
  <c r="P180" i="1"/>
  <c r="Q180" i="1"/>
  <c r="N85" i="1"/>
  <c r="N148" i="1"/>
  <c r="L123" i="1"/>
  <c r="M123" i="1" s="1"/>
  <c r="AE123" i="1" s="1"/>
  <c r="N114" i="1"/>
  <c r="L150" i="1"/>
  <c r="M150" i="1" s="1"/>
  <c r="AI150" i="1" s="1"/>
  <c r="L45" i="1"/>
  <c r="M45" i="1" s="1"/>
  <c r="R45" i="1" s="1"/>
  <c r="L124" i="1"/>
  <c r="M124" i="1" s="1"/>
  <c r="R124" i="1" s="1"/>
  <c r="D181" i="1"/>
  <c r="BH56" i="1"/>
  <c r="P124" i="1"/>
  <c r="L135" i="1"/>
  <c r="M135" i="1" s="1"/>
  <c r="AI135" i="1" s="1"/>
  <c r="N45" i="1"/>
  <c r="BJ56" i="1"/>
  <c r="BL56" i="1" s="1"/>
  <c r="P95" i="1"/>
  <c r="L125" i="1"/>
  <c r="M125" i="1" s="1"/>
  <c r="R125" i="1" s="1"/>
  <c r="Q148" i="1"/>
  <c r="BI97" i="1"/>
  <c r="BK97" i="1" s="1"/>
  <c r="P114" i="1"/>
  <c r="L149" i="1"/>
  <c r="M149" i="1" s="1"/>
  <c r="R149" i="1" s="1"/>
  <c r="B181" i="1"/>
  <c r="N63" i="1"/>
  <c r="BI66" i="1"/>
  <c r="BK66" i="1" s="1"/>
  <c r="BM66" i="1" s="1"/>
  <c r="BF106" i="1"/>
  <c r="L137" i="1"/>
  <c r="M137" i="1" s="1"/>
  <c r="AI137" i="1" s="1"/>
  <c r="L159" i="1"/>
  <c r="M159" i="1" s="1"/>
  <c r="R159" i="1" s="1"/>
  <c r="D139" i="1"/>
  <c r="BH172" i="1"/>
  <c r="N159" i="1"/>
  <c r="G172" i="1"/>
  <c r="P73" i="1"/>
  <c r="N147" i="1"/>
  <c r="Q73" i="1"/>
  <c r="N123" i="1"/>
  <c r="P147" i="1"/>
  <c r="P138" i="1"/>
  <c r="L179" i="1"/>
  <c r="M179" i="1" s="1"/>
  <c r="O179" i="1" s="1"/>
  <c r="O181" i="1" s="1"/>
  <c r="N113" i="1"/>
  <c r="L148" i="1"/>
  <c r="M148" i="1" s="1"/>
  <c r="AE148" i="1" s="1"/>
  <c r="L161" i="1"/>
  <c r="M161" i="1" s="1"/>
  <c r="R161" i="1" s="1"/>
  <c r="L171" i="1"/>
  <c r="M171" i="1" s="1"/>
  <c r="AI171" i="1" s="1"/>
  <c r="L13" i="1"/>
  <c r="M13" i="1" s="1"/>
  <c r="AE13" i="1" s="1"/>
  <c r="N35" i="1"/>
  <c r="O35" i="1" s="1"/>
  <c r="Q34" i="1"/>
  <c r="L9" i="1"/>
  <c r="M9" i="1" s="1"/>
  <c r="AE9" i="1" s="1"/>
  <c r="N9" i="1"/>
  <c r="Q9" i="1"/>
  <c r="AI21" i="1"/>
  <c r="R21" i="1"/>
  <c r="Q94" i="1"/>
  <c r="P113" i="1"/>
  <c r="Q123" i="1"/>
  <c r="BF126" i="1"/>
  <c r="P146" i="1"/>
  <c r="N94" i="1"/>
  <c r="P74" i="1"/>
  <c r="N84" i="1"/>
  <c r="BF115" i="1"/>
  <c r="BI126" i="1"/>
  <c r="BK126" i="1" s="1"/>
  <c r="N135" i="1"/>
  <c r="P169" i="1"/>
  <c r="BI172" i="1"/>
  <c r="BK172" i="1" s="1"/>
  <c r="Q74" i="1"/>
  <c r="BJ97" i="1"/>
  <c r="BL97" i="1" s="1"/>
  <c r="BI115" i="1"/>
  <c r="BK115" i="1" s="1"/>
  <c r="BJ126" i="1"/>
  <c r="BL126" i="1" s="1"/>
  <c r="Q169" i="1"/>
  <c r="BJ172" i="1"/>
  <c r="BL172" i="1" s="1"/>
  <c r="N25" i="1"/>
  <c r="O25" i="1" s="1"/>
  <c r="P35" i="1"/>
  <c r="Q146" i="1"/>
  <c r="BF46" i="1"/>
  <c r="BI14" i="1"/>
  <c r="BK14" i="1" s="1"/>
  <c r="Q25" i="1"/>
  <c r="BH46" i="1"/>
  <c r="S22" i="1"/>
  <c r="N34" i="1"/>
  <c r="O34" i="1" s="1"/>
  <c r="P45" i="1"/>
  <c r="BI46" i="1"/>
  <c r="BK46" i="1" s="1"/>
  <c r="BM46" i="1" s="1"/>
  <c r="BF66" i="1"/>
  <c r="L136" i="1"/>
  <c r="M136" i="1" s="1"/>
  <c r="AI136" i="1" s="1"/>
  <c r="Q149" i="1"/>
  <c r="D172" i="1"/>
  <c r="L169" i="1"/>
  <c r="M169" i="1" s="1"/>
  <c r="R169" i="1" s="1"/>
  <c r="BF14" i="1"/>
  <c r="L54" i="1"/>
  <c r="M54" i="1" s="1"/>
  <c r="AI54" i="1" s="1"/>
  <c r="G14" i="1"/>
  <c r="P161" i="1"/>
  <c r="Q161" i="1" s="1"/>
  <c r="D77" i="1"/>
  <c r="S26" i="1"/>
  <c r="S36" i="1"/>
  <c r="G126" i="1"/>
  <c r="BH87" i="1"/>
  <c r="BF139" i="1"/>
  <c r="BF181" i="1"/>
  <c r="D56" i="1"/>
  <c r="D14" i="1"/>
  <c r="BF26" i="1"/>
  <c r="BF37" i="1"/>
  <c r="L53" i="1"/>
  <c r="M53" i="1" s="1"/>
  <c r="AI53" i="1" s="1"/>
  <c r="BI87" i="1"/>
  <c r="BK87" i="1" s="1"/>
  <c r="P13" i="1"/>
  <c r="N21" i="1"/>
  <c r="O21" i="1" s="1"/>
  <c r="L24" i="1"/>
  <c r="M24" i="1" s="1"/>
  <c r="R24" i="1" s="1"/>
  <c r="BI26" i="1"/>
  <c r="BK26" i="1" s="1"/>
  <c r="BM26" i="1" s="1"/>
  <c r="BJ37" i="1"/>
  <c r="BL37" i="1" s="1"/>
  <c r="BM37" i="1" s="1"/>
  <c r="P125" i="1"/>
  <c r="BH139" i="1"/>
  <c r="P179" i="1"/>
  <c r="Q179" i="1"/>
  <c r="P21" i="1"/>
  <c r="Q125" i="1"/>
  <c r="BJ139" i="1"/>
  <c r="BL139" i="1" s="1"/>
  <c r="BM139" i="1" s="1"/>
  <c r="S10" i="1"/>
  <c r="G115" i="1"/>
  <c r="L160" i="1"/>
  <c r="M160" i="1" s="1"/>
  <c r="AE160" i="1" s="1"/>
  <c r="AQ10" i="1"/>
  <c r="G97" i="1"/>
  <c r="Q134" i="1"/>
  <c r="B139" i="1"/>
  <c r="G151" i="1"/>
  <c r="F13" i="3"/>
  <c r="D53" i="3" s="1"/>
  <c r="Q10" i="2"/>
  <c r="H40" i="2" s="1"/>
  <c r="P10" i="2"/>
  <c r="F40" i="2" s="1"/>
  <c r="K5" i="2"/>
  <c r="D7" i="3"/>
  <c r="A20" i="3"/>
  <c r="D20" i="3" s="1"/>
  <c r="D6" i="3"/>
  <c r="B21" i="3"/>
  <c r="F21" i="3" s="1"/>
  <c r="A13" i="3"/>
  <c r="S24" i="1"/>
  <c r="AQ35" i="1"/>
  <c r="AQ24" i="1"/>
  <c r="I10" i="2"/>
  <c r="L10" i="2" s="1"/>
  <c r="G40" i="2" s="1"/>
  <c r="J10" i="2"/>
  <c r="M10" i="2" s="1"/>
  <c r="I40" i="2" s="1"/>
  <c r="R40" i="2"/>
  <c r="L5" i="2"/>
  <c r="G35" i="2" s="1"/>
  <c r="O10" i="2"/>
  <c r="N10" i="2" s="1"/>
  <c r="J40" i="2" s="1"/>
  <c r="H44" i="2" s="1"/>
  <c r="K8" i="2"/>
  <c r="E25" i="2"/>
  <c r="E29" i="2" s="1"/>
  <c r="B40" i="2"/>
  <c r="A21" i="3"/>
  <c r="B20" i="3"/>
  <c r="C8" i="3"/>
  <c r="D39" i="3"/>
  <c r="D41" i="3" s="1"/>
  <c r="B53" i="3"/>
  <c r="C53" i="3"/>
  <c r="E19" i="2"/>
  <c r="G22" i="2" s="1"/>
  <c r="F23" i="2"/>
  <c r="L7" i="2"/>
  <c r="G37" i="2" s="1"/>
  <c r="K9" i="2"/>
  <c r="F19" i="2"/>
  <c r="G23" i="2" s="1"/>
  <c r="K6" i="2"/>
  <c r="AE22" i="1"/>
  <c r="R22" i="1"/>
  <c r="G37" i="1"/>
  <c r="BH26" i="1"/>
  <c r="Q10" i="1"/>
  <c r="P10" i="1"/>
  <c r="AI35" i="1"/>
  <c r="R35" i="1"/>
  <c r="AE35" i="1"/>
  <c r="L10" i="1"/>
  <c r="M10" i="1" s="1"/>
  <c r="N36" i="1"/>
  <c r="Q36" i="1"/>
  <c r="P36" i="1"/>
  <c r="G26" i="1"/>
  <c r="N24" i="1"/>
  <c r="Z24" i="1" s="1"/>
  <c r="P24" i="1"/>
  <c r="N10" i="1"/>
  <c r="B26" i="1"/>
  <c r="S172" i="1"/>
  <c r="AQ137" i="1"/>
  <c r="S125" i="1"/>
  <c r="AQ123" i="1"/>
  <c r="AQ171" i="1"/>
  <c r="S138" i="1"/>
  <c r="AQ136" i="1"/>
  <c r="S124" i="1"/>
  <c r="AQ122" i="1"/>
  <c r="S169" i="1"/>
  <c r="AQ162" i="1"/>
  <c r="AQ149" i="1"/>
  <c r="S134" i="1"/>
  <c r="S150" i="1"/>
  <c r="AQ148" i="1"/>
  <c r="S133" i="1"/>
  <c r="AQ126" i="1"/>
  <c r="AQ169" i="1"/>
  <c r="S162" i="1"/>
  <c r="AQ151" i="1"/>
  <c r="S180" i="1"/>
  <c r="S149" i="1"/>
  <c r="S146" i="1"/>
  <c r="S136" i="1"/>
  <c r="AQ172" i="1"/>
  <c r="S159" i="1"/>
  <c r="AQ180" i="1"/>
  <c r="AQ159" i="1"/>
  <c r="S181" i="1"/>
  <c r="S170" i="1"/>
  <c r="AQ139" i="1"/>
  <c r="S139" i="1"/>
  <c r="AQ134" i="1"/>
  <c r="AQ170" i="1"/>
  <c r="S160" i="1"/>
  <c r="S147" i="1"/>
  <c r="S122" i="1"/>
  <c r="AQ181" i="1"/>
  <c r="AQ160" i="1"/>
  <c r="AQ147" i="1"/>
  <c r="S135" i="1"/>
  <c r="S179" i="1"/>
  <c r="AQ150" i="1"/>
  <c r="S171" i="1"/>
  <c r="AQ179" i="1"/>
  <c r="AQ161" i="1"/>
  <c r="AQ158" i="1"/>
  <c r="S151" i="1"/>
  <c r="AQ133" i="1"/>
  <c r="AQ115" i="1"/>
  <c r="AQ146" i="1"/>
  <c r="S113" i="1"/>
  <c r="S161" i="1"/>
  <c r="S126" i="1"/>
  <c r="AQ113" i="1"/>
  <c r="AQ124" i="1"/>
  <c r="AQ95" i="1"/>
  <c r="AQ138" i="1"/>
  <c r="S114" i="1"/>
  <c r="S137" i="1"/>
  <c r="AQ125" i="1"/>
  <c r="S97" i="1"/>
  <c r="S87" i="1"/>
  <c r="S115" i="1"/>
  <c r="S85" i="1"/>
  <c r="S74" i="1"/>
  <c r="S148" i="1"/>
  <c r="AQ97" i="1"/>
  <c r="S73" i="1"/>
  <c r="AQ66" i="1"/>
  <c r="AQ135" i="1"/>
  <c r="AQ106" i="1"/>
  <c r="AQ114" i="1"/>
  <c r="S158" i="1"/>
  <c r="S123" i="1"/>
  <c r="S106" i="1"/>
  <c r="S94" i="1"/>
  <c r="S64" i="1"/>
  <c r="S84" i="1"/>
  <c r="S77" i="1"/>
  <c r="S56" i="1"/>
  <c r="AQ73" i="1"/>
  <c r="S95" i="1"/>
  <c r="S66" i="1"/>
  <c r="AQ87" i="1"/>
  <c r="AQ85" i="1"/>
  <c r="AQ84" i="1"/>
  <c r="AQ77" i="1"/>
  <c r="AQ63" i="1"/>
  <c r="AQ74" i="1"/>
  <c r="AQ53" i="1"/>
  <c r="AQ64" i="1"/>
  <c r="AQ94" i="1"/>
  <c r="AQ56" i="1"/>
  <c r="S46" i="1"/>
  <c r="AQ54" i="1"/>
  <c r="S35" i="1"/>
  <c r="AQ34" i="1"/>
  <c r="S53" i="1"/>
  <c r="S37" i="1"/>
  <c r="AQ46" i="1"/>
  <c r="AQ26" i="1"/>
  <c r="AQ13" i="1"/>
  <c r="S14" i="1"/>
  <c r="S54" i="1"/>
  <c r="S44" i="1"/>
  <c r="AQ37" i="1"/>
  <c r="AQ36" i="1"/>
  <c r="AQ33" i="1"/>
  <c r="S33" i="1"/>
  <c r="S9" i="1"/>
  <c r="S63" i="1"/>
  <c r="AQ45" i="1"/>
  <c r="AQ25" i="1"/>
  <c r="S45" i="1"/>
  <c r="AQ44" i="1"/>
  <c r="S21" i="1"/>
  <c r="AQ14" i="1"/>
  <c r="AQ21" i="1"/>
  <c r="AI34" i="1"/>
  <c r="B14" i="1"/>
  <c r="AE21" i="1"/>
  <c r="Q24" i="1"/>
  <c r="D26" i="1"/>
  <c r="AI22" i="1"/>
  <c r="AI25" i="1"/>
  <c r="AE34" i="1"/>
  <c r="Q13" i="1"/>
  <c r="B37" i="1"/>
  <c r="D37" i="1"/>
  <c r="L33" i="1"/>
  <c r="M33" i="1" s="1"/>
  <c r="G46" i="1"/>
  <c r="AQ9" i="1"/>
  <c r="P22" i="1"/>
  <c r="N22" i="1"/>
  <c r="AQ22" i="1"/>
  <c r="R25" i="1"/>
  <c r="S13" i="1"/>
  <c r="S25" i="1"/>
  <c r="P33" i="1"/>
  <c r="Q33" i="1"/>
  <c r="BJ14" i="1"/>
  <c r="BL14" i="1" s="1"/>
  <c r="L44" i="1"/>
  <c r="M44" i="1" s="1"/>
  <c r="D46" i="1"/>
  <c r="B46" i="1"/>
  <c r="L36" i="1"/>
  <c r="M36" i="1" s="1"/>
  <c r="B66" i="1"/>
  <c r="D66" i="1"/>
  <c r="L63" i="1"/>
  <c r="M63" i="1" s="1"/>
  <c r="N54" i="1"/>
  <c r="Q54" i="1"/>
  <c r="P44" i="1"/>
  <c r="P54" i="1"/>
  <c r="Q44" i="1"/>
  <c r="G56" i="1"/>
  <c r="Q53" i="1"/>
  <c r="P53" i="1"/>
  <c r="N53" i="1"/>
  <c r="Z53" i="1" s="1"/>
  <c r="Q63" i="1"/>
  <c r="BH37" i="1"/>
  <c r="G77" i="1"/>
  <c r="L64" i="1"/>
  <c r="M64" i="1" s="1"/>
  <c r="P64" i="1"/>
  <c r="Q64" i="1"/>
  <c r="B56" i="1"/>
  <c r="BI56" i="1"/>
  <c r="BK56" i="1" s="1"/>
  <c r="G66" i="1"/>
  <c r="B77" i="1"/>
  <c r="B97" i="1"/>
  <c r="D87" i="1"/>
  <c r="L84" i="1"/>
  <c r="M84" i="1" s="1"/>
  <c r="BI77" i="1"/>
  <c r="BK77" i="1" s="1"/>
  <c r="BH77" i="1"/>
  <c r="BF77" i="1"/>
  <c r="B87" i="1"/>
  <c r="BJ77" i="1"/>
  <c r="BL77" i="1" s="1"/>
  <c r="G87" i="1"/>
  <c r="Q150" i="1"/>
  <c r="P150" i="1"/>
  <c r="N150" i="1"/>
  <c r="L95" i="1"/>
  <c r="M95" i="1" s="1"/>
  <c r="P84" i="1"/>
  <c r="G139" i="1"/>
  <c r="L133" i="1"/>
  <c r="M133" i="1" s="1"/>
  <c r="P85" i="1"/>
  <c r="G106" i="1"/>
  <c r="Q133" i="1"/>
  <c r="P133" i="1"/>
  <c r="N133" i="1"/>
  <c r="BJ87" i="1"/>
  <c r="BL87" i="1" s="1"/>
  <c r="L94" i="1"/>
  <c r="M94" i="1" s="1"/>
  <c r="D97" i="1"/>
  <c r="D115" i="1"/>
  <c r="B115" i="1"/>
  <c r="Q122" i="1"/>
  <c r="P122" i="1"/>
  <c r="N122" i="1"/>
  <c r="B106" i="1"/>
  <c r="D106" i="1"/>
  <c r="B162" i="1"/>
  <c r="L158" i="1"/>
  <c r="M158" i="1" s="1"/>
  <c r="D162" i="1"/>
  <c r="BI106" i="1"/>
  <c r="BK106" i="1" s="1"/>
  <c r="B126" i="1"/>
  <c r="D126" i="1"/>
  <c r="BJ162" i="1"/>
  <c r="BL162" i="1" s="1"/>
  <c r="BI162" i="1"/>
  <c r="BK162" i="1" s="1"/>
  <c r="P135" i="1"/>
  <c r="N137" i="1"/>
  <c r="B172" i="1"/>
  <c r="Q137" i="1"/>
  <c r="BI151" i="1"/>
  <c r="BK151" i="1" s="1"/>
  <c r="BM151" i="1" s="1"/>
  <c r="BH151" i="1"/>
  <c r="L170" i="1"/>
  <c r="M170" i="1" s="1"/>
  <c r="L146" i="1"/>
  <c r="M146" i="1" s="1"/>
  <c r="Q160" i="1"/>
  <c r="BF162" i="1"/>
  <c r="N170" i="1"/>
  <c r="Q136" i="1"/>
  <c r="P136" i="1"/>
  <c r="Q124" i="1"/>
  <c r="N134" i="1"/>
  <c r="N149" i="1"/>
  <c r="D151" i="1"/>
  <c r="BF151" i="1"/>
  <c r="BH162" i="1"/>
  <c r="P170" i="1"/>
  <c r="L180" i="1"/>
  <c r="M180" i="1" s="1"/>
  <c r="BI181" i="1"/>
  <c r="BK181" i="1" s="1"/>
  <c r="BM181" i="1" s="1"/>
  <c r="BH181" i="1"/>
  <c r="Q171" i="1"/>
  <c r="P171" i="1"/>
  <c r="BJ115" i="1"/>
  <c r="BL115" i="1" s="1"/>
  <c r="Q138" i="1"/>
  <c r="G162" i="1"/>
  <c r="L147" i="1"/>
  <c r="M147" i="1" s="1"/>
  <c r="T96" i="1" l="1"/>
  <c r="V96" i="1" s="1"/>
  <c r="U96" i="1"/>
  <c r="W96" i="1" s="1"/>
  <c r="T86" i="1"/>
  <c r="V86" i="1" s="1"/>
  <c r="U86" i="1"/>
  <c r="W86" i="1" s="1"/>
  <c r="U55" i="1"/>
  <c r="W55" i="1" s="1"/>
  <c r="T55" i="1"/>
  <c r="V55" i="1" s="1"/>
  <c r="U23" i="1"/>
  <c r="W23" i="1" s="1"/>
  <c r="T23" i="1"/>
  <c r="V23" i="1" s="1"/>
  <c r="U11" i="1"/>
  <c r="W11" i="1" s="1"/>
  <c r="T11" i="1"/>
  <c r="V11" i="1" s="1"/>
  <c r="D19" i="2"/>
  <c r="G21" i="2" s="1"/>
  <c r="F25" i="2"/>
  <c r="F29" i="2" s="1"/>
  <c r="O74" i="1"/>
  <c r="T12" i="1"/>
  <c r="V12" i="1" s="1"/>
  <c r="U12" i="1"/>
  <c r="W12" i="1" s="1"/>
  <c r="M115" i="1"/>
  <c r="AD115" i="1" s="1"/>
  <c r="T105" i="1"/>
  <c r="V105" i="1" s="1"/>
  <c r="U105" i="1"/>
  <c r="W105" i="1" s="1"/>
  <c r="T104" i="1"/>
  <c r="V104" i="1" s="1"/>
  <c r="U104" i="1"/>
  <c r="W104" i="1" s="1"/>
  <c r="AI138" i="1"/>
  <c r="R85" i="1"/>
  <c r="U85" i="1" s="1"/>
  <c r="W85" i="1" s="1"/>
  <c r="AE85" i="1"/>
  <c r="R150" i="1"/>
  <c r="U150" i="1" s="1"/>
  <c r="W150" i="1" s="1"/>
  <c r="AE150" i="1"/>
  <c r="C20" i="3"/>
  <c r="E20" i="3" s="1"/>
  <c r="B39" i="3"/>
  <c r="B44" i="3" s="1"/>
  <c r="U65" i="1"/>
  <c r="W65" i="1" s="1"/>
  <c r="T65" i="1"/>
  <c r="V65" i="1" s="1"/>
  <c r="AE134" i="1"/>
  <c r="AI134" i="1"/>
  <c r="AE74" i="1"/>
  <c r="R74" i="1"/>
  <c r="U74" i="1" s="1"/>
  <c r="W74" i="1" s="1"/>
  <c r="O134" i="1"/>
  <c r="AI159" i="1"/>
  <c r="U75" i="1"/>
  <c r="W75" i="1" s="1"/>
  <c r="T75" i="1"/>
  <c r="V75" i="1" s="1"/>
  <c r="U76" i="1"/>
  <c r="W76" i="1" s="1"/>
  <c r="T76" i="1"/>
  <c r="V76" i="1" s="1"/>
  <c r="AE159" i="1"/>
  <c r="O137" i="1"/>
  <c r="O161" i="1"/>
  <c r="AI73" i="1"/>
  <c r="R148" i="1"/>
  <c r="T148" i="1" s="1"/>
  <c r="V148" i="1" s="1"/>
  <c r="O73" i="1"/>
  <c r="AE73" i="1"/>
  <c r="AE125" i="1"/>
  <c r="R113" i="1"/>
  <c r="U113" i="1" s="1"/>
  <c r="W113" i="1" s="1"/>
  <c r="AE113" i="1"/>
  <c r="AI113" i="1"/>
  <c r="R171" i="1"/>
  <c r="T171" i="1" s="1"/>
  <c r="V171" i="1" s="1"/>
  <c r="O125" i="1"/>
  <c r="AE171" i="1"/>
  <c r="AI125" i="1"/>
  <c r="AI114" i="1"/>
  <c r="R114" i="1"/>
  <c r="U114" i="1" s="1"/>
  <c r="W114" i="1" s="1"/>
  <c r="AE137" i="1"/>
  <c r="R137" i="1"/>
  <c r="U137" i="1" s="1"/>
  <c r="W137" i="1" s="1"/>
  <c r="O136" i="1"/>
  <c r="R136" i="1"/>
  <c r="U136" i="1" s="1"/>
  <c r="W136" i="1" s="1"/>
  <c r="BM106" i="1"/>
  <c r="O171" i="1"/>
  <c r="T34" i="1"/>
  <c r="V34" i="1" s="1"/>
  <c r="R9" i="1"/>
  <c r="U9" i="1" s="1"/>
  <c r="W9" i="1" s="1"/>
  <c r="BM56" i="1"/>
  <c r="M172" i="1"/>
  <c r="AD172" i="1" s="1"/>
  <c r="O122" i="1"/>
  <c r="AE122" i="1"/>
  <c r="AI123" i="1"/>
  <c r="R135" i="1"/>
  <c r="T135" i="1" s="1"/>
  <c r="V135" i="1" s="1"/>
  <c r="AE138" i="1"/>
  <c r="R138" i="1"/>
  <c r="T138" i="1" s="1"/>
  <c r="V138" i="1" s="1"/>
  <c r="O114" i="1"/>
  <c r="AI148" i="1"/>
  <c r="AE169" i="1"/>
  <c r="AE172" i="1" s="1"/>
  <c r="O169" i="1"/>
  <c r="O172" i="1" s="1"/>
  <c r="AE54" i="1"/>
  <c r="AE161" i="1"/>
  <c r="BM115" i="1"/>
  <c r="O113" i="1"/>
  <c r="AI45" i="1"/>
  <c r="AE106" i="1"/>
  <c r="AI169" i="1"/>
  <c r="AE149" i="1"/>
  <c r="AI122" i="1"/>
  <c r="M77" i="1"/>
  <c r="R77" i="1" s="1"/>
  <c r="R123" i="1"/>
  <c r="T123" i="1" s="1"/>
  <c r="V123" i="1" s="1"/>
  <c r="O85" i="1"/>
  <c r="O160" i="1"/>
  <c r="M126" i="1"/>
  <c r="AD126" i="1" s="1"/>
  <c r="AI9" i="1"/>
  <c r="AA53" i="1"/>
  <c r="T134" i="1"/>
  <c r="V134" i="1" s="1"/>
  <c r="AI149" i="1"/>
  <c r="B40" i="3"/>
  <c r="B45" i="3" s="1"/>
  <c r="J13" i="3"/>
  <c r="O135" i="1"/>
  <c r="AE135" i="1"/>
  <c r="AE45" i="1"/>
  <c r="O45" i="1"/>
  <c r="O159" i="1"/>
  <c r="M26" i="1"/>
  <c r="R26" i="1" s="1"/>
  <c r="BM14" i="1"/>
  <c r="O9" i="1"/>
  <c r="U45" i="1"/>
  <c r="W45" i="1" s="1"/>
  <c r="O124" i="1"/>
  <c r="R160" i="1"/>
  <c r="U160" i="1" s="1"/>
  <c r="W160" i="1" s="1"/>
  <c r="AI161" i="1"/>
  <c r="R54" i="1"/>
  <c r="T54" i="1" s="1"/>
  <c r="V54" i="1" s="1"/>
  <c r="O148" i="1"/>
  <c r="AE136" i="1"/>
  <c r="M106" i="1"/>
  <c r="AD106" i="1" s="1"/>
  <c r="U149" i="1"/>
  <c r="W149" i="1" s="1"/>
  <c r="R53" i="1"/>
  <c r="U53" i="1" s="1"/>
  <c r="W53" i="1" s="1"/>
  <c r="M56" i="1"/>
  <c r="AD56" i="1" s="1"/>
  <c r="O123" i="1"/>
  <c r="AE124" i="1"/>
  <c r="T73" i="1"/>
  <c r="V73" i="1" s="1"/>
  <c r="AI124" i="1"/>
  <c r="BM87" i="1"/>
  <c r="BM97" i="1"/>
  <c r="AI13" i="1"/>
  <c r="O13" i="1"/>
  <c r="U21" i="1"/>
  <c r="W21" i="1" s="1"/>
  <c r="R13" i="1"/>
  <c r="T13" i="1" s="1"/>
  <c r="V13" i="1" s="1"/>
  <c r="AI160" i="1"/>
  <c r="T25" i="1"/>
  <c r="V25" i="1" s="1"/>
  <c r="T149" i="1"/>
  <c r="V149" i="1" s="1"/>
  <c r="T45" i="1"/>
  <c r="V45" i="1" s="1"/>
  <c r="U73" i="1"/>
  <c r="W73" i="1" s="1"/>
  <c r="BM172" i="1"/>
  <c r="R179" i="1"/>
  <c r="T179" i="1" s="1"/>
  <c r="V179" i="1" s="1"/>
  <c r="U124" i="1"/>
  <c r="W124" i="1" s="1"/>
  <c r="M181" i="1"/>
  <c r="P181" i="1" s="1"/>
  <c r="BM126" i="1"/>
  <c r="M14" i="1"/>
  <c r="R14" i="1" s="1"/>
  <c r="AE179" i="1"/>
  <c r="AE181" i="1" s="1"/>
  <c r="AE53" i="1"/>
  <c r="AI179" i="1"/>
  <c r="U169" i="1"/>
  <c r="W169" i="1" s="1"/>
  <c r="T124" i="1"/>
  <c r="V124" i="1" s="1"/>
  <c r="AA13" i="1"/>
  <c r="U35" i="1"/>
  <c r="W35" i="1" s="1"/>
  <c r="AA24" i="1"/>
  <c r="AI24" i="1"/>
  <c r="AE24" i="1"/>
  <c r="AE26" i="1" s="1"/>
  <c r="U161" i="1"/>
  <c r="W161" i="1" s="1"/>
  <c r="O106" i="1"/>
  <c r="D8" i="3"/>
  <c r="B13" i="3"/>
  <c r="D13" i="3" s="1"/>
  <c r="G13" i="3" s="1"/>
  <c r="T161" i="1"/>
  <c r="V161" i="1" s="1"/>
  <c r="T169" i="1"/>
  <c r="V169" i="1" s="1"/>
  <c r="T125" i="1"/>
  <c r="V125" i="1" s="1"/>
  <c r="K10" i="2"/>
  <c r="H10" i="2" s="1"/>
  <c r="E40" i="2" s="1"/>
  <c r="A14" i="2" s="1"/>
  <c r="D21" i="3"/>
  <c r="C21" i="3"/>
  <c r="E21" i="3" s="1"/>
  <c r="N22" i="3"/>
  <c r="F20" i="3"/>
  <c r="N20" i="3"/>
  <c r="B22" i="3"/>
  <c r="A22" i="3"/>
  <c r="G25" i="2"/>
  <c r="G29" i="2" s="1"/>
  <c r="A13" i="2"/>
  <c r="C44" i="2"/>
  <c r="AE33" i="1"/>
  <c r="M37" i="1"/>
  <c r="R33" i="1"/>
  <c r="T33" i="1" s="1"/>
  <c r="V33" i="1" s="1"/>
  <c r="O33" i="1"/>
  <c r="AI33" i="1"/>
  <c r="O53" i="1"/>
  <c r="U24" i="1"/>
  <c r="W24" i="1" s="1"/>
  <c r="T24" i="1"/>
  <c r="V24" i="1" s="1"/>
  <c r="O24" i="1"/>
  <c r="R158" i="1"/>
  <c r="AI158" i="1"/>
  <c r="M162" i="1"/>
  <c r="AE158" i="1"/>
  <c r="AE162" i="1" s="1"/>
  <c r="O158" i="1"/>
  <c r="O162" i="1" s="1"/>
  <c r="U159" i="1"/>
  <c r="W159" i="1" s="1"/>
  <c r="T159" i="1"/>
  <c r="V159" i="1" s="1"/>
  <c r="R170" i="1"/>
  <c r="T170" i="1" s="1"/>
  <c r="V170" i="1" s="1"/>
  <c r="AE170" i="1"/>
  <c r="O170" i="1"/>
  <c r="AI170" i="1"/>
  <c r="O63" i="1"/>
  <c r="AI63" i="1"/>
  <c r="AE63" i="1"/>
  <c r="M66" i="1"/>
  <c r="R63" i="1"/>
  <c r="U22" i="1"/>
  <c r="W22" i="1" s="1"/>
  <c r="T22" i="1"/>
  <c r="V22" i="1" s="1"/>
  <c r="T35" i="1"/>
  <c r="V35" i="1" s="1"/>
  <c r="U122" i="1"/>
  <c r="W122" i="1" s="1"/>
  <c r="T122" i="1"/>
  <c r="V122" i="1" s="1"/>
  <c r="AI147" i="1"/>
  <c r="O147" i="1"/>
  <c r="AE147" i="1"/>
  <c r="R147" i="1"/>
  <c r="T21" i="1"/>
  <c r="V21" i="1" s="1"/>
  <c r="U25" i="1"/>
  <c r="W25" i="1" s="1"/>
  <c r="O22" i="1"/>
  <c r="O149" i="1"/>
  <c r="R10" i="1"/>
  <c r="U10" i="1" s="1"/>
  <c r="W10" i="1" s="1"/>
  <c r="AE10" i="1"/>
  <c r="AE14" i="1" s="1"/>
  <c r="O10" i="1"/>
  <c r="AI10" i="1"/>
  <c r="BM77" i="1"/>
  <c r="O94" i="1"/>
  <c r="M97" i="1"/>
  <c r="AI94" i="1"/>
  <c r="AE94" i="1"/>
  <c r="R94" i="1"/>
  <c r="M87" i="1"/>
  <c r="R84" i="1"/>
  <c r="T84" i="1" s="1"/>
  <c r="V84" i="1" s="1"/>
  <c r="O84" i="1"/>
  <c r="AE84" i="1"/>
  <c r="AI84" i="1"/>
  <c r="R36" i="1"/>
  <c r="U36" i="1" s="1"/>
  <c r="W36" i="1" s="1"/>
  <c r="O36" i="1"/>
  <c r="AI36" i="1"/>
  <c r="AE36" i="1"/>
  <c r="R95" i="1"/>
  <c r="O95" i="1"/>
  <c r="AI95" i="1"/>
  <c r="AE95" i="1"/>
  <c r="R44" i="1"/>
  <c r="U44" i="1" s="1"/>
  <c r="W44" i="1" s="1"/>
  <c r="AE44" i="1"/>
  <c r="M46" i="1"/>
  <c r="AI44" i="1"/>
  <c r="O44" i="1"/>
  <c r="U171" i="1"/>
  <c r="W171" i="1" s="1"/>
  <c r="BM162" i="1"/>
  <c r="AI64" i="1"/>
  <c r="R64" i="1"/>
  <c r="U64" i="1" s="1"/>
  <c r="W64" i="1" s="1"/>
  <c r="AE64" i="1"/>
  <c r="O64" i="1"/>
  <c r="AI133" i="1"/>
  <c r="AE133" i="1"/>
  <c r="AE139" i="1" s="1"/>
  <c r="R133" i="1"/>
  <c r="T133" i="1" s="1"/>
  <c r="V133" i="1" s="1"/>
  <c r="O133" i="1"/>
  <c r="O139" i="1" s="1"/>
  <c r="M139" i="1"/>
  <c r="U125" i="1"/>
  <c r="W125" i="1" s="1"/>
  <c r="O150" i="1"/>
  <c r="O54" i="1"/>
  <c r="AI180" i="1"/>
  <c r="R180" i="1"/>
  <c r="O180" i="1"/>
  <c r="AE180" i="1"/>
  <c r="AI146" i="1"/>
  <c r="M151" i="1"/>
  <c r="O146" i="1"/>
  <c r="O151" i="1" s="1"/>
  <c r="AE146" i="1"/>
  <c r="AE151" i="1" s="1"/>
  <c r="R146" i="1"/>
  <c r="U134" i="1"/>
  <c r="W134" i="1" s="1"/>
  <c r="B55" i="3" l="1"/>
  <c r="B57" i="3" s="1"/>
  <c r="B61" i="3" s="1"/>
  <c r="I20" i="3"/>
  <c r="O126" i="1"/>
  <c r="AE126" i="1"/>
  <c r="AF126" i="1" s="1"/>
  <c r="R115" i="1"/>
  <c r="O115" i="1"/>
  <c r="P115" i="1" s="1"/>
  <c r="Q115" i="1" s="1"/>
  <c r="AE115" i="1"/>
  <c r="T85" i="1"/>
  <c r="V85" i="1" s="1"/>
  <c r="B41" i="3"/>
  <c r="T150" i="1"/>
  <c r="V150" i="1" s="1"/>
  <c r="T113" i="1"/>
  <c r="V113" i="1" s="1"/>
  <c r="U148" i="1"/>
  <c r="W148" i="1" s="1"/>
  <c r="T74" i="1"/>
  <c r="V74" i="1" s="1"/>
  <c r="AE46" i="1"/>
  <c r="AE77" i="1"/>
  <c r="AF115" i="1"/>
  <c r="T9" i="1"/>
  <c r="V9" i="1" s="1"/>
  <c r="T137" i="1"/>
  <c r="V137" i="1" s="1"/>
  <c r="R172" i="1"/>
  <c r="T136" i="1"/>
  <c r="V136" i="1" s="1"/>
  <c r="P172" i="1"/>
  <c r="Z170" i="1" s="1"/>
  <c r="AA170" i="1" s="1"/>
  <c r="AF172" i="1"/>
  <c r="O77" i="1"/>
  <c r="P77" i="1" s="1"/>
  <c r="T114" i="1"/>
  <c r="V114" i="1" s="1"/>
  <c r="AD26" i="1"/>
  <c r="AF26" i="1" s="1"/>
  <c r="AD77" i="1"/>
  <c r="O87" i="1"/>
  <c r="P87" i="1" s="1"/>
  <c r="Z86" i="1" s="1"/>
  <c r="AA86" i="1" s="1"/>
  <c r="P126" i="1"/>
  <c r="Z123" i="1" s="1"/>
  <c r="AA123" i="1" s="1"/>
  <c r="AE56" i="1"/>
  <c r="AF56" i="1" s="1"/>
  <c r="AF106" i="1"/>
  <c r="U135" i="1"/>
  <c r="W135" i="1" s="1"/>
  <c r="R126" i="1"/>
  <c r="U138" i="1"/>
  <c r="W138" i="1" s="1"/>
  <c r="U54" i="1"/>
  <c r="W54" i="1" s="1"/>
  <c r="O46" i="1"/>
  <c r="P46" i="1" s="1"/>
  <c r="AD14" i="1"/>
  <c r="AF14" i="1" s="1"/>
  <c r="U123" i="1"/>
  <c r="W123" i="1" s="1"/>
  <c r="O56" i="1"/>
  <c r="P56" i="1" s="1"/>
  <c r="Z55" i="1" s="1"/>
  <c r="AA55" i="1" s="1"/>
  <c r="R106" i="1"/>
  <c r="P106" i="1"/>
  <c r="AE87" i="1"/>
  <c r="T160" i="1"/>
  <c r="V160" i="1" s="1"/>
  <c r="AE97" i="1"/>
  <c r="O97" i="1"/>
  <c r="P97" i="1" s="1"/>
  <c r="Z96" i="1" s="1"/>
  <c r="AA96" i="1" s="1"/>
  <c r="AE66" i="1"/>
  <c r="O66" i="1"/>
  <c r="P66" i="1" s="1"/>
  <c r="Z65" i="1" s="1"/>
  <c r="AA65" i="1" s="1"/>
  <c r="R56" i="1"/>
  <c r="J20" i="3"/>
  <c r="C22" i="3"/>
  <c r="W21" i="3" s="1"/>
  <c r="R181" i="1"/>
  <c r="T181" i="1" s="1"/>
  <c r="V181" i="1" s="1"/>
  <c r="U179" i="1"/>
  <c r="W179" i="1" s="1"/>
  <c r="T53" i="1"/>
  <c r="V53" i="1" s="1"/>
  <c r="AD181" i="1"/>
  <c r="AF181" i="1" s="1"/>
  <c r="U170" i="1"/>
  <c r="W170" i="1" s="1"/>
  <c r="U13" i="1"/>
  <c r="W13" i="1" s="1"/>
  <c r="U33" i="1"/>
  <c r="W33" i="1" s="1"/>
  <c r="O14" i="1"/>
  <c r="P14" i="1" s="1"/>
  <c r="Z11" i="1" s="1"/>
  <c r="AA11" i="1" s="1"/>
  <c r="P151" i="1"/>
  <c r="Z150" i="1" s="1"/>
  <c r="AA150" i="1" s="1"/>
  <c r="T115" i="1"/>
  <c r="V115" i="1" s="1"/>
  <c r="U84" i="1"/>
  <c r="W84" i="1" s="1"/>
  <c r="O26" i="1"/>
  <c r="P26" i="1" s="1"/>
  <c r="Z23" i="1" s="1"/>
  <c r="AA23" i="1" s="1"/>
  <c r="O37" i="1"/>
  <c r="P37" i="1" s="1"/>
  <c r="AE37" i="1"/>
  <c r="T36" i="1"/>
  <c r="V36" i="1" s="1"/>
  <c r="T44" i="1"/>
  <c r="V44" i="1" s="1"/>
  <c r="W20" i="3"/>
  <c r="C45" i="2"/>
  <c r="G45" i="2"/>
  <c r="J48" i="2" s="1"/>
  <c r="K13" i="3"/>
  <c r="D54" i="3"/>
  <c r="K20" i="3"/>
  <c r="C40" i="3"/>
  <c r="C45" i="3" s="1"/>
  <c r="C39" i="3"/>
  <c r="E13" i="3"/>
  <c r="H13" i="3" s="1"/>
  <c r="A27" i="2"/>
  <c r="I21" i="3"/>
  <c r="I25" i="3"/>
  <c r="C55" i="3"/>
  <c r="C57" i="3" s="1"/>
  <c r="C61" i="3" s="1"/>
  <c r="K21" i="3"/>
  <c r="J21" i="3"/>
  <c r="AD162" i="1"/>
  <c r="AF162" i="1" s="1"/>
  <c r="R162" i="1"/>
  <c r="U147" i="1"/>
  <c r="W147" i="1" s="1"/>
  <c r="T147" i="1"/>
  <c r="V147" i="1" s="1"/>
  <c r="U158" i="1"/>
  <c r="W158" i="1" s="1"/>
  <c r="T158" i="1"/>
  <c r="V158" i="1" s="1"/>
  <c r="R151" i="1"/>
  <c r="AD151" i="1"/>
  <c r="AF151" i="1" s="1"/>
  <c r="T95" i="1"/>
  <c r="V95" i="1" s="1"/>
  <c r="U95" i="1"/>
  <c r="W95" i="1" s="1"/>
  <c r="T180" i="1"/>
  <c r="V180" i="1" s="1"/>
  <c r="U180" i="1"/>
  <c r="W180" i="1" s="1"/>
  <c r="U133" i="1"/>
  <c r="W133" i="1" s="1"/>
  <c r="T10" i="1"/>
  <c r="V10" i="1" s="1"/>
  <c r="R87" i="1"/>
  <c r="AD87" i="1"/>
  <c r="T63" i="1"/>
  <c r="V63" i="1" s="1"/>
  <c r="U63" i="1"/>
  <c r="W63" i="1" s="1"/>
  <c r="AD66" i="1"/>
  <c r="R66" i="1"/>
  <c r="AD139" i="1"/>
  <c r="AF139" i="1" s="1"/>
  <c r="R139" i="1"/>
  <c r="U94" i="1"/>
  <c r="W94" i="1" s="1"/>
  <c r="T94" i="1"/>
  <c r="V94" i="1" s="1"/>
  <c r="Q181" i="1"/>
  <c r="Z180" i="1"/>
  <c r="AA180" i="1" s="1"/>
  <c r="Z179" i="1"/>
  <c r="AA179" i="1" s="1"/>
  <c r="AA181" i="1" s="1"/>
  <c r="P139" i="1"/>
  <c r="R37" i="1"/>
  <c r="AD37" i="1"/>
  <c r="T146" i="1"/>
  <c r="V146" i="1" s="1"/>
  <c r="U146" i="1"/>
  <c r="W146" i="1" s="1"/>
  <c r="T64" i="1"/>
  <c r="V64" i="1" s="1"/>
  <c r="AD97" i="1"/>
  <c r="R97" i="1"/>
  <c r="P162" i="1"/>
  <c r="AD46" i="1"/>
  <c r="R46" i="1"/>
  <c r="K48" i="2" l="1"/>
  <c r="K50" i="2" s="1"/>
  <c r="J50" i="2"/>
  <c r="Z114" i="1"/>
  <c r="AA114" i="1" s="1"/>
  <c r="W22" i="3"/>
  <c r="W23" i="3" s="1"/>
  <c r="W24" i="3" s="1"/>
  <c r="AF46" i="1"/>
  <c r="U115" i="1"/>
  <c r="W115" i="1" s="1"/>
  <c r="Z113" i="1"/>
  <c r="AA113" i="1" s="1"/>
  <c r="AA115" i="1" s="1"/>
  <c r="Z12" i="1"/>
  <c r="AA12" i="1" s="1"/>
  <c r="Z105" i="1"/>
  <c r="AA105" i="1" s="1"/>
  <c r="Z104" i="1"/>
  <c r="AA104" i="1" s="1"/>
  <c r="T172" i="1"/>
  <c r="V172" i="1" s="1"/>
  <c r="U172" i="1"/>
  <c r="W172" i="1" s="1"/>
  <c r="Q172" i="1"/>
  <c r="Z171" i="1"/>
  <c r="AA171" i="1" s="1"/>
  <c r="Z169" i="1"/>
  <c r="AA169" i="1" s="1"/>
  <c r="AA172" i="1" s="1"/>
  <c r="AH172" i="1" s="1"/>
  <c r="AF77" i="1"/>
  <c r="Z76" i="1"/>
  <c r="AA76" i="1" s="1"/>
  <c r="Z75" i="1"/>
  <c r="AA75" i="1" s="1"/>
  <c r="Z73" i="1"/>
  <c r="AA73" i="1" s="1"/>
  <c r="Q77" i="1"/>
  <c r="U77" i="1"/>
  <c r="W77" i="1" s="1"/>
  <c r="Z124" i="1"/>
  <c r="AA124" i="1" s="1"/>
  <c r="T77" i="1"/>
  <c r="V77" i="1" s="1"/>
  <c r="Z74" i="1"/>
  <c r="AA74" i="1" s="1"/>
  <c r="Z122" i="1"/>
  <c r="AA122" i="1" s="1"/>
  <c r="AF87" i="1"/>
  <c r="Q126" i="1"/>
  <c r="T126" i="1"/>
  <c r="V126" i="1" s="1"/>
  <c r="Z125" i="1"/>
  <c r="AA125" i="1" s="1"/>
  <c r="U126" i="1"/>
  <c r="W126" i="1" s="1"/>
  <c r="Z9" i="1"/>
  <c r="AA9" i="1" s="1"/>
  <c r="U106" i="1"/>
  <c r="W106" i="1" s="1"/>
  <c r="Q106" i="1"/>
  <c r="T106" i="1"/>
  <c r="V106" i="1" s="1"/>
  <c r="U181" i="1"/>
  <c r="W181" i="1" s="1"/>
  <c r="AF66" i="1"/>
  <c r="T14" i="1"/>
  <c r="V14" i="1" s="1"/>
  <c r="Q14" i="1"/>
  <c r="Z94" i="1"/>
  <c r="AA94" i="1" s="1"/>
  <c r="T56" i="1"/>
  <c r="V56" i="1" s="1"/>
  <c r="Q56" i="1"/>
  <c r="Z54" i="1"/>
  <c r="AA54" i="1" s="1"/>
  <c r="AF97" i="1"/>
  <c r="U56" i="1"/>
  <c r="W56" i="1" s="1"/>
  <c r="U14" i="1"/>
  <c r="W14" i="1" s="1"/>
  <c r="Q66" i="1"/>
  <c r="Z63" i="1"/>
  <c r="AA63" i="1" s="1"/>
  <c r="Z64" i="1"/>
  <c r="AA64" i="1" s="1"/>
  <c r="Z85" i="1"/>
  <c r="AA85" i="1" s="1"/>
  <c r="Q87" i="1"/>
  <c r="U66" i="1"/>
  <c r="W66" i="1" s="1"/>
  <c r="Z146" i="1"/>
  <c r="AA146" i="1" s="1"/>
  <c r="AA151" i="1" s="1"/>
  <c r="AH151" i="1" s="1"/>
  <c r="Z148" i="1"/>
  <c r="AA148" i="1" s="1"/>
  <c r="U151" i="1"/>
  <c r="W151" i="1" s="1"/>
  <c r="Z147" i="1"/>
  <c r="AA147" i="1" s="1"/>
  <c r="AF37" i="1"/>
  <c r="Z84" i="1"/>
  <c r="AA84" i="1" s="1"/>
  <c r="Z149" i="1"/>
  <c r="AA149" i="1" s="1"/>
  <c r="Z10" i="1"/>
  <c r="AA10" i="1" s="1"/>
  <c r="T66" i="1"/>
  <c r="V66" i="1" s="1"/>
  <c r="U26" i="1"/>
  <c r="W26" i="1" s="1"/>
  <c r="U97" i="1"/>
  <c r="W97" i="1" s="1"/>
  <c r="Z95" i="1"/>
  <c r="AA95" i="1" s="1"/>
  <c r="Z22" i="1"/>
  <c r="AA22" i="1" s="1"/>
  <c r="Z25" i="1"/>
  <c r="AA25" i="1" s="1"/>
  <c r="T97" i="1"/>
  <c r="V97" i="1" s="1"/>
  <c r="Q97" i="1"/>
  <c r="Q46" i="1"/>
  <c r="U87" i="1"/>
  <c r="W87" i="1" s="1"/>
  <c r="U46" i="1"/>
  <c r="W46" i="1" s="1"/>
  <c r="Q151" i="1"/>
  <c r="T26" i="1"/>
  <c r="V26" i="1" s="1"/>
  <c r="Q26" i="1"/>
  <c r="Z45" i="1"/>
  <c r="AA45" i="1" s="1"/>
  <c r="Z44" i="1"/>
  <c r="AA44" i="1" s="1"/>
  <c r="Z21" i="1"/>
  <c r="AA21" i="1" s="1"/>
  <c r="T87" i="1"/>
  <c r="V87" i="1" s="1"/>
  <c r="T151" i="1"/>
  <c r="V151" i="1" s="1"/>
  <c r="L13" i="3"/>
  <c r="D55" i="3"/>
  <c r="D57" i="3" s="1"/>
  <c r="D61" i="3" s="1"/>
  <c r="C41" i="3"/>
  <c r="C44" i="3"/>
  <c r="B47" i="3" s="1"/>
  <c r="J40" i="3"/>
  <c r="H39" i="3" s="1"/>
  <c r="N21" i="3"/>
  <c r="N23" i="3" s="1"/>
  <c r="N24" i="3" s="1"/>
  <c r="E53" i="3"/>
  <c r="I26" i="3"/>
  <c r="I31" i="3" s="1"/>
  <c r="K25" i="3"/>
  <c r="J25" i="3"/>
  <c r="T46" i="1"/>
  <c r="V46" i="1" s="1"/>
  <c r="BO181" i="1"/>
  <c r="AX181" i="1"/>
  <c r="AC181" i="1"/>
  <c r="AG181" i="1" s="1"/>
  <c r="BA181" i="1"/>
  <c r="BU181" i="1" s="1"/>
  <c r="BU182" i="1" s="1"/>
  <c r="AH181" i="1"/>
  <c r="Q37" i="1"/>
  <c r="T37" i="1"/>
  <c r="V37" i="1" s="1"/>
  <c r="Z35" i="1"/>
  <c r="AA35" i="1" s="1"/>
  <c r="U37" i="1"/>
  <c r="W37" i="1" s="1"/>
  <c r="Z34" i="1"/>
  <c r="AA34" i="1" s="1"/>
  <c r="Z33" i="1"/>
  <c r="AA33" i="1" s="1"/>
  <c r="Z36" i="1"/>
  <c r="AA36" i="1" s="1"/>
  <c r="Q162" i="1"/>
  <c r="Z159" i="1"/>
  <c r="AA159" i="1" s="1"/>
  <c r="U162" i="1"/>
  <c r="W162" i="1" s="1"/>
  <c r="T162" i="1"/>
  <c r="V162" i="1" s="1"/>
  <c r="Z158" i="1"/>
  <c r="AA158" i="1" s="1"/>
  <c r="AA162" i="1" s="1"/>
  <c r="Z160" i="1"/>
  <c r="AA160" i="1" s="1"/>
  <c r="Z161" i="1"/>
  <c r="AA161" i="1" s="1"/>
  <c r="Q139" i="1"/>
  <c r="T139" i="1"/>
  <c r="V139" i="1" s="1"/>
  <c r="Z136" i="1"/>
  <c r="AA136" i="1" s="1"/>
  <c r="U139" i="1"/>
  <c r="W139" i="1" s="1"/>
  <c r="Z138" i="1"/>
  <c r="AA138" i="1" s="1"/>
  <c r="Z135" i="1"/>
  <c r="AA135" i="1" s="1"/>
  <c r="Z137" i="1"/>
  <c r="AA137" i="1" s="1"/>
  <c r="Z133" i="1"/>
  <c r="AA133" i="1" s="1"/>
  <c r="AA139" i="1" s="1"/>
  <c r="Z134" i="1"/>
  <c r="AA134" i="1" s="1"/>
  <c r="L50" i="2" l="1"/>
  <c r="AA126" i="1"/>
  <c r="AC126" i="1" s="1"/>
  <c r="AG126" i="1" s="1"/>
  <c r="AG123" i="1" s="1"/>
  <c r="AC115" i="1"/>
  <c r="AG115" i="1" s="1"/>
  <c r="AG113" i="1" s="1"/>
  <c r="AX115" i="1"/>
  <c r="BC115" i="1" s="1"/>
  <c r="BD115" i="1" s="1"/>
  <c r="AA106" i="1"/>
  <c r="AH106" i="1" s="1"/>
  <c r="AC172" i="1"/>
  <c r="AG172" i="1" s="1"/>
  <c r="AG170" i="1" s="1"/>
  <c r="BO172" i="1"/>
  <c r="AX172" i="1"/>
  <c r="BG172" i="1" s="1"/>
  <c r="BA172" i="1"/>
  <c r="BU172" i="1" s="1"/>
  <c r="BU173" i="1" s="1"/>
  <c r="AA77" i="1"/>
  <c r="BA77" i="1" s="1"/>
  <c r="BU77" i="1" s="1"/>
  <c r="BU78" i="1" s="1"/>
  <c r="AZ115" i="1"/>
  <c r="BA115" i="1" s="1"/>
  <c r="BU115" i="1" s="1"/>
  <c r="BU116" i="1" s="1"/>
  <c r="AX117" i="1"/>
  <c r="AY117" i="1" s="1"/>
  <c r="BE115" i="1"/>
  <c r="AA46" i="1"/>
  <c r="AH46" i="1" s="1"/>
  <c r="AH45" i="1" s="1"/>
  <c r="AJ45" i="1" s="1"/>
  <c r="AA56" i="1"/>
  <c r="AX56" i="1" s="1"/>
  <c r="AA66" i="1"/>
  <c r="BO66" i="1" s="1"/>
  <c r="AA87" i="1"/>
  <c r="AX87" i="1" s="1"/>
  <c r="BE87" i="1" s="1"/>
  <c r="AA97" i="1"/>
  <c r="I34" i="3"/>
  <c r="AA14" i="1"/>
  <c r="AC14" i="1" s="1"/>
  <c r="AG14" i="1" s="1"/>
  <c r="AG11" i="1" s="1"/>
  <c r="BA151" i="1"/>
  <c r="BU151" i="1" s="1"/>
  <c r="BU152" i="1" s="1"/>
  <c r="BO151" i="1"/>
  <c r="AX151" i="1"/>
  <c r="AZ151" i="1" s="1"/>
  <c r="AC151" i="1"/>
  <c r="AG151" i="1" s="1"/>
  <c r="AG147" i="1" s="1"/>
  <c r="AA26" i="1"/>
  <c r="AX26" i="1" s="1"/>
  <c r="BC26" i="1" s="1"/>
  <c r="BD26" i="1" s="1"/>
  <c r="AA37" i="1"/>
  <c r="B48" i="3"/>
  <c r="I61" i="3" s="1"/>
  <c r="F45" i="3"/>
  <c r="J26" i="3"/>
  <c r="K34" i="3" s="1"/>
  <c r="E55" i="3"/>
  <c r="K26" i="3"/>
  <c r="J34" i="3" s="1"/>
  <c r="E54" i="3"/>
  <c r="I28" i="3"/>
  <c r="F53" i="3"/>
  <c r="I33" i="3"/>
  <c r="I30" i="3"/>
  <c r="I35" i="3"/>
  <c r="I29" i="3"/>
  <c r="I36" i="3"/>
  <c r="N25" i="3"/>
  <c r="G55" i="3"/>
  <c r="G57" i="3" s="1"/>
  <c r="G61" i="3" s="1"/>
  <c r="AH179" i="1"/>
  <c r="AJ179" i="1" s="1"/>
  <c r="AH180" i="1"/>
  <c r="AJ180" i="1" s="1"/>
  <c r="AG179" i="1"/>
  <c r="AG180" i="1"/>
  <c r="AX183" i="1"/>
  <c r="AY183" i="1" s="1"/>
  <c r="BE181" i="1"/>
  <c r="BC181" i="1"/>
  <c r="BD181" i="1" s="1"/>
  <c r="AZ181" i="1"/>
  <c r="BG181" i="1"/>
  <c r="AH147" i="1"/>
  <c r="AJ147" i="1" s="1"/>
  <c r="AH146" i="1"/>
  <c r="AJ146" i="1" s="1"/>
  <c r="AH148" i="1"/>
  <c r="AJ148" i="1" s="1"/>
  <c r="AH149" i="1"/>
  <c r="AJ149" i="1" s="1"/>
  <c r="AH150" i="1"/>
  <c r="AJ150" i="1" s="1"/>
  <c r="BO162" i="1"/>
  <c r="AX162" i="1"/>
  <c r="AH162" i="1"/>
  <c r="AC162" i="1"/>
  <c r="AG162" i="1" s="1"/>
  <c r="BA162" i="1"/>
  <c r="BU162" i="1" s="1"/>
  <c r="BU163" i="1" s="1"/>
  <c r="AH171" i="1"/>
  <c r="AJ171" i="1" s="1"/>
  <c r="AH169" i="1"/>
  <c r="AJ169" i="1" s="1"/>
  <c r="AH170" i="1"/>
  <c r="AJ170" i="1" s="1"/>
  <c r="BO139" i="1"/>
  <c r="AX139" i="1"/>
  <c r="AH139" i="1"/>
  <c r="AC139" i="1"/>
  <c r="AG139" i="1" s="1"/>
  <c r="BA139" i="1"/>
  <c r="BU139" i="1" s="1"/>
  <c r="BU140" i="1" s="1"/>
  <c r="AG114" i="1" l="1"/>
  <c r="AX126" i="1"/>
  <c r="AZ126" i="1" s="1"/>
  <c r="AG122" i="1"/>
  <c r="AG125" i="1"/>
  <c r="AG124" i="1"/>
  <c r="BA126" i="1"/>
  <c r="BU126" i="1" s="1"/>
  <c r="BU127" i="1" s="1"/>
  <c r="AH126" i="1"/>
  <c r="AH125" i="1" s="1"/>
  <c r="AJ125" i="1" s="1"/>
  <c r="AL125" i="1" s="1"/>
  <c r="AM125" i="1" s="1"/>
  <c r="AN125" i="1" s="1"/>
  <c r="AC106" i="1"/>
  <c r="AG106" i="1" s="1"/>
  <c r="AG104" i="1" s="1"/>
  <c r="AX106" i="1"/>
  <c r="BC106" i="1" s="1"/>
  <c r="BD106" i="1" s="1"/>
  <c r="AZ172" i="1"/>
  <c r="BE172" i="1"/>
  <c r="BN172" i="1" s="1"/>
  <c r="AG169" i="1"/>
  <c r="AG171" i="1"/>
  <c r="BG115" i="1"/>
  <c r="BN115" i="1" s="1"/>
  <c r="BO115" i="1" s="1"/>
  <c r="AH115" i="1"/>
  <c r="AG12" i="1"/>
  <c r="AH104" i="1"/>
  <c r="AJ104" i="1" s="1"/>
  <c r="AH105" i="1"/>
  <c r="AJ105" i="1" s="1"/>
  <c r="AX174" i="1"/>
  <c r="AY174" i="1" s="1"/>
  <c r="BC172" i="1"/>
  <c r="BD172" i="1" s="1"/>
  <c r="BQ172" i="1" s="1"/>
  <c r="BT172" i="1" s="1"/>
  <c r="BW172" i="1" s="1"/>
  <c r="BW173" i="1" s="1"/>
  <c r="AH77" i="1"/>
  <c r="AH76" i="1" s="1"/>
  <c r="AJ76" i="1" s="1"/>
  <c r="BO77" i="1"/>
  <c r="AC77" i="1"/>
  <c r="AG77" i="1" s="1"/>
  <c r="AG76" i="1" s="1"/>
  <c r="AX77" i="1"/>
  <c r="BE77" i="1" s="1"/>
  <c r="AX128" i="1"/>
  <c r="AY128" i="1" s="1"/>
  <c r="BE126" i="1"/>
  <c r="BC126" i="1"/>
  <c r="BD126" i="1" s="1"/>
  <c r="BG126" i="1"/>
  <c r="BA46" i="1"/>
  <c r="BU46" i="1" s="1"/>
  <c r="BU47" i="1" s="1"/>
  <c r="AX46" i="1"/>
  <c r="BC46" i="1" s="1"/>
  <c r="BD46" i="1" s="1"/>
  <c r="AC46" i="1"/>
  <c r="AG46" i="1" s="1"/>
  <c r="AG44" i="1" s="1"/>
  <c r="AH44" i="1"/>
  <c r="AJ44" i="1" s="1"/>
  <c r="AO44" i="1" s="1"/>
  <c r="AP44" i="1" s="1"/>
  <c r="BO46" i="1"/>
  <c r="AX58" i="1"/>
  <c r="AY58" i="1" s="1"/>
  <c r="BG56" i="1"/>
  <c r="BC56" i="1"/>
  <c r="BD56" i="1" s="1"/>
  <c r="BE56" i="1"/>
  <c r="AC56" i="1"/>
  <c r="AG56" i="1" s="1"/>
  <c r="AG55" i="1" s="1"/>
  <c r="AZ56" i="1"/>
  <c r="BA56" i="1" s="1"/>
  <c r="BU56" i="1" s="1"/>
  <c r="BU57" i="1" s="1"/>
  <c r="BA66" i="1"/>
  <c r="BU66" i="1" s="1"/>
  <c r="BU67" i="1" s="1"/>
  <c r="BG87" i="1"/>
  <c r="BN87" i="1" s="1"/>
  <c r="AX66" i="1"/>
  <c r="BG66" i="1" s="1"/>
  <c r="AX89" i="1"/>
  <c r="AY89" i="1" s="1"/>
  <c r="BC87" i="1"/>
  <c r="BD87" i="1" s="1"/>
  <c r="AC66" i="1"/>
  <c r="AG66" i="1" s="1"/>
  <c r="AG65" i="1" s="1"/>
  <c r="AZ87" i="1"/>
  <c r="AH66" i="1"/>
  <c r="AH65" i="1" s="1"/>
  <c r="AJ65" i="1" s="1"/>
  <c r="AH87" i="1"/>
  <c r="AH86" i="1" s="1"/>
  <c r="AJ86" i="1" s="1"/>
  <c r="BA87" i="1"/>
  <c r="BU87" i="1" s="1"/>
  <c r="BU88" i="1" s="1"/>
  <c r="BO26" i="1"/>
  <c r="BQ26" i="1" s="1"/>
  <c r="BT26" i="1" s="1"/>
  <c r="BW26" i="1" s="1"/>
  <c r="BW27" i="1" s="1"/>
  <c r="BG151" i="1"/>
  <c r="AG13" i="1"/>
  <c r="AG10" i="1"/>
  <c r="BO87" i="1"/>
  <c r="AX153" i="1"/>
  <c r="AY153" i="1" s="1"/>
  <c r="BC151" i="1"/>
  <c r="BD151" i="1" s="1"/>
  <c r="BQ151" i="1" s="1"/>
  <c r="BT151" i="1" s="1"/>
  <c r="BW151" i="1" s="1"/>
  <c r="BW152" i="1" s="1"/>
  <c r="AC87" i="1"/>
  <c r="AG87" i="1" s="1"/>
  <c r="AG86" i="1" s="1"/>
  <c r="AX28" i="1"/>
  <c r="AY28" i="1" s="1"/>
  <c r="AH26" i="1"/>
  <c r="AH23" i="1" s="1"/>
  <c r="AJ23" i="1" s="1"/>
  <c r="BE151" i="1"/>
  <c r="AG149" i="1"/>
  <c r="AX97" i="1"/>
  <c r="AC97" i="1"/>
  <c r="AG97" i="1" s="1"/>
  <c r="AG96" i="1" s="1"/>
  <c r="AG148" i="1"/>
  <c r="E57" i="3"/>
  <c r="E61" i="3" s="1"/>
  <c r="AC26" i="1"/>
  <c r="AG26" i="1" s="1"/>
  <c r="AG23" i="1" s="1"/>
  <c r="AH14" i="1"/>
  <c r="AH11" i="1" s="1"/>
  <c r="AJ11" i="1" s="1"/>
  <c r="BO14" i="1"/>
  <c r="AX14" i="1"/>
  <c r="AG9" i="1"/>
  <c r="AG150" i="1"/>
  <c r="BG26" i="1"/>
  <c r="AG146" i="1"/>
  <c r="AZ26" i="1"/>
  <c r="BA26" i="1"/>
  <c r="BU26" i="1" s="1"/>
  <c r="BU27" i="1" s="1"/>
  <c r="AC37" i="1"/>
  <c r="AG37" i="1" s="1"/>
  <c r="BE26" i="1"/>
  <c r="AX37" i="1"/>
  <c r="BG37" i="1" s="1"/>
  <c r="J31" i="3"/>
  <c r="BN181" i="1"/>
  <c r="K31" i="3"/>
  <c r="J33" i="3"/>
  <c r="F55" i="3"/>
  <c r="K30" i="3"/>
  <c r="J35" i="3"/>
  <c r="K28" i="3"/>
  <c r="K29" i="3"/>
  <c r="J36" i="3"/>
  <c r="K33" i="3"/>
  <c r="F54" i="3"/>
  <c r="J30" i="3"/>
  <c r="K35" i="3"/>
  <c r="J28" i="3"/>
  <c r="J29" i="3"/>
  <c r="K36" i="3"/>
  <c r="BC139" i="1"/>
  <c r="BD139" i="1" s="1"/>
  <c r="AX141" i="1"/>
  <c r="AY141" i="1" s="1"/>
  <c r="AZ139" i="1"/>
  <c r="BE139" i="1"/>
  <c r="BG139" i="1"/>
  <c r="AO150" i="1"/>
  <c r="AP150" i="1" s="1"/>
  <c r="AL150" i="1"/>
  <c r="AM150" i="1" s="1"/>
  <c r="AO180" i="1"/>
  <c r="AP180" i="1" s="1"/>
  <c r="AL180" i="1"/>
  <c r="AM180" i="1" s="1"/>
  <c r="AO149" i="1"/>
  <c r="AP149" i="1" s="1"/>
  <c r="AL149" i="1"/>
  <c r="AM149" i="1" s="1"/>
  <c r="AL179" i="1"/>
  <c r="AJ181" i="1"/>
  <c r="AO181" i="1" s="1"/>
  <c r="AP181" i="1" s="1"/>
  <c r="AO179" i="1"/>
  <c r="AP179" i="1" s="1"/>
  <c r="AJ151" i="1"/>
  <c r="AO151" i="1" s="1"/>
  <c r="AP151" i="1" s="1"/>
  <c r="AO146" i="1"/>
  <c r="AP146" i="1" s="1"/>
  <c r="AL146" i="1"/>
  <c r="AO147" i="1"/>
  <c r="AP147" i="1" s="1"/>
  <c r="AL147" i="1"/>
  <c r="AM147" i="1" s="1"/>
  <c r="AO45" i="1"/>
  <c r="AP45" i="1" s="1"/>
  <c r="AL45" i="1"/>
  <c r="AM45" i="1" s="1"/>
  <c r="AO170" i="1"/>
  <c r="AP170" i="1" s="1"/>
  <c r="AL170" i="1"/>
  <c r="AM170" i="1" s="1"/>
  <c r="AO169" i="1"/>
  <c r="AP169" i="1" s="1"/>
  <c r="AL169" i="1"/>
  <c r="AJ172" i="1"/>
  <c r="AO172" i="1" s="1"/>
  <c r="AP172" i="1" s="1"/>
  <c r="AG160" i="1"/>
  <c r="AG159" i="1"/>
  <c r="AG158" i="1"/>
  <c r="AG161" i="1"/>
  <c r="AH159" i="1"/>
  <c r="AJ159" i="1" s="1"/>
  <c r="AH158" i="1"/>
  <c r="AJ158" i="1" s="1"/>
  <c r="AH160" i="1"/>
  <c r="AJ160" i="1" s="1"/>
  <c r="AH161" i="1"/>
  <c r="AJ161" i="1" s="1"/>
  <c r="AL171" i="1"/>
  <c r="AM171" i="1" s="1"/>
  <c r="AO171" i="1"/>
  <c r="AP171" i="1" s="1"/>
  <c r="AX164" i="1"/>
  <c r="AY164" i="1" s="1"/>
  <c r="BG162" i="1"/>
  <c r="BE162" i="1"/>
  <c r="BC162" i="1"/>
  <c r="BD162" i="1" s="1"/>
  <c r="AZ162" i="1"/>
  <c r="AX108" i="1"/>
  <c r="AY108" i="1" s="1"/>
  <c r="BG106" i="1"/>
  <c r="BE106" i="1"/>
  <c r="AZ106" i="1"/>
  <c r="BA106" i="1" s="1"/>
  <c r="BU106" i="1" s="1"/>
  <c r="BU107" i="1" s="1"/>
  <c r="BQ181" i="1"/>
  <c r="BT181" i="1" s="1"/>
  <c r="BW181" i="1" s="1"/>
  <c r="BW182" i="1" s="1"/>
  <c r="BP181" i="1"/>
  <c r="BS181" i="1" s="1"/>
  <c r="BV181" i="1" s="1"/>
  <c r="BV182" i="1" s="1"/>
  <c r="AO148" i="1"/>
  <c r="AP148" i="1" s="1"/>
  <c r="AL148" i="1"/>
  <c r="AM148" i="1" s="1"/>
  <c r="AG135" i="1"/>
  <c r="AG133" i="1"/>
  <c r="AG138" i="1"/>
  <c r="AG136" i="1"/>
  <c r="AG137" i="1"/>
  <c r="AG134" i="1"/>
  <c r="AH137" i="1"/>
  <c r="AJ137" i="1" s="1"/>
  <c r="AH133" i="1"/>
  <c r="AJ133" i="1" s="1"/>
  <c r="AH136" i="1"/>
  <c r="AJ136" i="1" s="1"/>
  <c r="AH135" i="1"/>
  <c r="AJ135" i="1" s="1"/>
  <c r="AH138" i="1"/>
  <c r="AJ138" i="1" s="1"/>
  <c r="AH134" i="1"/>
  <c r="AJ134" i="1" s="1"/>
  <c r="AL86" i="1" l="1"/>
  <c r="AM86" i="1" s="1"/>
  <c r="AO86" i="1"/>
  <c r="AP86" i="1" s="1"/>
  <c r="AO23" i="1"/>
  <c r="AP23" i="1" s="1"/>
  <c r="AL23" i="1"/>
  <c r="AM23" i="1" s="1"/>
  <c r="AL11" i="1"/>
  <c r="AM11" i="1" s="1"/>
  <c r="AO11" i="1"/>
  <c r="AP11" i="1" s="1"/>
  <c r="AH123" i="1"/>
  <c r="AJ123" i="1" s="1"/>
  <c r="AL123" i="1" s="1"/>
  <c r="AM123" i="1" s="1"/>
  <c r="AN123" i="1" s="1"/>
  <c r="AG105" i="1"/>
  <c r="AH122" i="1"/>
  <c r="AJ122" i="1" s="1"/>
  <c r="AO122" i="1" s="1"/>
  <c r="AP122" i="1" s="1"/>
  <c r="AO125" i="1"/>
  <c r="AP125" i="1" s="1"/>
  <c r="AS125" i="1" s="1"/>
  <c r="AU125" i="1" s="1"/>
  <c r="AH124" i="1"/>
  <c r="AJ124" i="1" s="1"/>
  <c r="AO124" i="1" s="1"/>
  <c r="AP124" i="1" s="1"/>
  <c r="AH114" i="1"/>
  <c r="AJ114" i="1" s="1"/>
  <c r="AH113" i="1"/>
  <c r="AJ113" i="1" s="1"/>
  <c r="AH12" i="1"/>
  <c r="AJ12" i="1" s="1"/>
  <c r="BP172" i="1"/>
  <c r="BS172" i="1" s="1"/>
  <c r="BV172" i="1" s="1"/>
  <c r="BV173" i="1" s="1"/>
  <c r="BP115" i="1"/>
  <c r="BS115" i="1" s="1"/>
  <c r="BV115" i="1" s="1"/>
  <c r="BV116" i="1" s="1"/>
  <c r="BQ115" i="1"/>
  <c r="BT115" i="1" s="1"/>
  <c r="BW115" i="1" s="1"/>
  <c r="BW116" i="1" s="1"/>
  <c r="AX79" i="1"/>
  <c r="AY79" i="1" s="1"/>
  <c r="AO105" i="1"/>
  <c r="AP105" i="1" s="1"/>
  <c r="AL105" i="1"/>
  <c r="AM105" i="1" s="1"/>
  <c r="AL104" i="1"/>
  <c r="AM104" i="1" s="1"/>
  <c r="AO104" i="1"/>
  <c r="AP104" i="1" s="1"/>
  <c r="AG73" i="1"/>
  <c r="AG74" i="1"/>
  <c r="BC77" i="1"/>
  <c r="BD77" i="1" s="1"/>
  <c r="BP77" i="1" s="1"/>
  <c r="BS77" i="1" s="1"/>
  <c r="BV77" i="1" s="1"/>
  <c r="BV78" i="1" s="1"/>
  <c r="BG77" i="1"/>
  <c r="BN77" i="1" s="1"/>
  <c r="AX48" i="1"/>
  <c r="AY48" i="1" s="1"/>
  <c r="AG75" i="1"/>
  <c r="AR125" i="1"/>
  <c r="AT125" i="1" s="1"/>
  <c r="AZ46" i="1"/>
  <c r="BG46" i="1"/>
  <c r="BE46" i="1"/>
  <c r="AZ77" i="1"/>
  <c r="AH74" i="1"/>
  <c r="AJ74" i="1" s="1"/>
  <c r="AO74" i="1" s="1"/>
  <c r="AP74" i="1" s="1"/>
  <c r="AH75" i="1"/>
  <c r="AJ75" i="1" s="1"/>
  <c r="AL75" i="1" s="1"/>
  <c r="AM75" i="1" s="1"/>
  <c r="AH73" i="1"/>
  <c r="AJ73" i="1" s="1"/>
  <c r="AL73" i="1" s="1"/>
  <c r="AM73" i="1" s="1"/>
  <c r="AN73" i="1" s="1"/>
  <c r="AO65" i="1"/>
  <c r="AP65" i="1" s="1"/>
  <c r="AL65" i="1"/>
  <c r="AM65" i="1" s="1"/>
  <c r="AL76" i="1"/>
  <c r="AM76" i="1" s="1"/>
  <c r="AO76" i="1"/>
  <c r="AP76" i="1" s="1"/>
  <c r="AG54" i="1"/>
  <c r="AH84" i="1"/>
  <c r="AJ84" i="1" s="1"/>
  <c r="AO84" i="1" s="1"/>
  <c r="AP84" i="1" s="1"/>
  <c r="AH97" i="1"/>
  <c r="AH96" i="1" s="1"/>
  <c r="AJ96" i="1" s="1"/>
  <c r="BN126" i="1"/>
  <c r="BO126" i="1" s="1"/>
  <c r="BQ126" i="1" s="1"/>
  <c r="BT126" i="1" s="1"/>
  <c r="BW126" i="1" s="1"/>
  <c r="BW127" i="1" s="1"/>
  <c r="AG45" i="1"/>
  <c r="AO123" i="1"/>
  <c r="AP123" i="1" s="1"/>
  <c r="AJ46" i="1"/>
  <c r="AO46" i="1" s="1"/>
  <c r="AP46" i="1" s="1"/>
  <c r="BP46" i="1"/>
  <c r="BS46" i="1" s="1"/>
  <c r="BV46" i="1" s="1"/>
  <c r="BV47" i="1" s="1"/>
  <c r="AL44" i="1"/>
  <c r="AL46" i="1" s="1"/>
  <c r="BC66" i="1"/>
  <c r="BD66" i="1" s="1"/>
  <c r="BQ66" i="1" s="1"/>
  <c r="BT66" i="1" s="1"/>
  <c r="BW66" i="1" s="1"/>
  <c r="BW67" i="1" s="1"/>
  <c r="AG64" i="1"/>
  <c r="BQ46" i="1"/>
  <c r="BT46" i="1" s="1"/>
  <c r="BW46" i="1" s="1"/>
  <c r="BW47" i="1" s="1"/>
  <c r="AZ66" i="1"/>
  <c r="AX68" i="1"/>
  <c r="AY68" i="1" s="1"/>
  <c r="AG63" i="1"/>
  <c r="BE66" i="1"/>
  <c r="BN66" i="1" s="1"/>
  <c r="AG25" i="1"/>
  <c r="AH25" i="1"/>
  <c r="AJ25" i="1" s="1"/>
  <c r="AO25" i="1" s="1"/>
  <c r="AP25" i="1" s="1"/>
  <c r="BP151" i="1"/>
  <c r="BS151" i="1" s="1"/>
  <c r="BV151" i="1" s="1"/>
  <c r="BV152" i="1" s="1"/>
  <c r="BN56" i="1"/>
  <c r="BO56" i="1" s="1"/>
  <c r="BP56" i="1" s="1"/>
  <c r="BS56" i="1" s="1"/>
  <c r="BV56" i="1" s="1"/>
  <c r="BV57" i="1" s="1"/>
  <c r="AH56" i="1"/>
  <c r="AH55" i="1" s="1"/>
  <c r="AJ55" i="1" s="1"/>
  <c r="AH63" i="1"/>
  <c r="AJ63" i="1" s="1"/>
  <c r="AO63" i="1" s="1"/>
  <c r="AP63" i="1" s="1"/>
  <c r="AG53" i="1"/>
  <c r="BQ87" i="1"/>
  <c r="BT87" i="1" s="1"/>
  <c r="BW87" i="1" s="1"/>
  <c r="BW88" i="1" s="1"/>
  <c r="AH64" i="1"/>
  <c r="AJ64" i="1" s="1"/>
  <c r="AL64" i="1" s="1"/>
  <c r="AM64" i="1" s="1"/>
  <c r="AN64" i="1" s="1"/>
  <c r="BP87" i="1"/>
  <c r="BS87" i="1" s="1"/>
  <c r="BV87" i="1" s="1"/>
  <c r="BV88" i="1" s="1"/>
  <c r="BP26" i="1"/>
  <c r="BS26" i="1" s="1"/>
  <c r="BV26" i="1" s="1"/>
  <c r="BV27" i="1" s="1"/>
  <c r="AH85" i="1"/>
  <c r="AJ85" i="1" s="1"/>
  <c r="AL85" i="1" s="1"/>
  <c r="AM85" i="1" s="1"/>
  <c r="AN85" i="1" s="1"/>
  <c r="AG84" i="1"/>
  <c r="BC37" i="1"/>
  <c r="BD37" i="1" s="1"/>
  <c r="BE37" i="1"/>
  <c r="BN37" i="1" s="1"/>
  <c r="BO37" i="1" s="1"/>
  <c r="AZ37" i="1"/>
  <c r="BA37" i="1" s="1"/>
  <c r="BU37" i="1" s="1"/>
  <c r="BU38" i="1" s="1"/>
  <c r="AX39" i="1"/>
  <c r="AY39" i="1" s="1"/>
  <c r="AH22" i="1"/>
  <c r="AJ22" i="1" s="1"/>
  <c r="AL22" i="1" s="1"/>
  <c r="AM22" i="1" s="1"/>
  <c r="AN22" i="1" s="1"/>
  <c r="AH24" i="1"/>
  <c r="AJ24" i="1" s="1"/>
  <c r="AL24" i="1" s="1"/>
  <c r="AM24" i="1" s="1"/>
  <c r="AN24" i="1" s="1"/>
  <c r="AH21" i="1"/>
  <c r="AJ21" i="1" s="1"/>
  <c r="AL21" i="1" s="1"/>
  <c r="BN151" i="1"/>
  <c r="AG85" i="1"/>
  <c r="AG22" i="1"/>
  <c r="AG24" i="1"/>
  <c r="AG21" i="1"/>
  <c r="AH10" i="1"/>
  <c r="AJ10" i="1" s="1"/>
  <c r="AG95" i="1"/>
  <c r="AG94" i="1"/>
  <c r="BC97" i="1"/>
  <c r="BD97" i="1" s="1"/>
  <c r="AX99" i="1"/>
  <c r="AY99" i="1" s="1"/>
  <c r="BG97" i="1"/>
  <c r="BE97" i="1"/>
  <c r="AZ97" i="1"/>
  <c r="BA97" i="1" s="1"/>
  <c r="BU97" i="1" s="1"/>
  <c r="BU98" i="1" s="1"/>
  <c r="AH37" i="1"/>
  <c r="AG33" i="1"/>
  <c r="AG36" i="1"/>
  <c r="AG34" i="1"/>
  <c r="AH13" i="1"/>
  <c r="AJ13" i="1" s="1"/>
  <c r="AG35" i="1"/>
  <c r="AZ14" i="1"/>
  <c r="BA14" i="1" s="1"/>
  <c r="BU14" i="1" s="1"/>
  <c r="BU15" i="1" s="1"/>
  <c r="BE14" i="1"/>
  <c r="BG14" i="1"/>
  <c r="AX16" i="1"/>
  <c r="AY16" i="1" s="1"/>
  <c r="BC14" i="1"/>
  <c r="BD14" i="1" s="1"/>
  <c r="AH9" i="1"/>
  <c r="AJ9" i="1" s="1"/>
  <c r="BN26" i="1"/>
  <c r="F57" i="3"/>
  <c r="F61" i="3" s="1"/>
  <c r="AK180" i="1"/>
  <c r="AK169" i="1"/>
  <c r="AK172" i="1" s="1"/>
  <c r="AK170" i="1"/>
  <c r="AK171" i="1"/>
  <c r="AL172" i="1"/>
  <c r="AM172" i="1" s="1"/>
  <c r="AM169" i="1"/>
  <c r="AR171" i="1"/>
  <c r="AT171" i="1" s="1"/>
  <c r="AN171" i="1"/>
  <c r="AS171" i="1"/>
  <c r="AU171" i="1" s="1"/>
  <c r="AK147" i="1"/>
  <c r="AO161" i="1"/>
  <c r="AP161" i="1" s="1"/>
  <c r="AL161" i="1"/>
  <c r="AM161" i="1" s="1"/>
  <c r="AS147" i="1"/>
  <c r="AU147" i="1" s="1"/>
  <c r="AR147" i="1"/>
  <c r="AT147" i="1" s="1"/>
  <c r="AN147" i="1"/>
  <c r="AL160" i="1"/>
  <c r="AM160" i="1" s="1"/>
  <c r="AO160" i="1"/>
  <c r="AP160" i="1" s="1"/>
  <c r="AO158" i="1"/>
  <c r="AP158" i="1" s="1"/>
  <c r="AL158" i="1"/>
  <c r="AJ162" i="1"/>
  <c r="AO162" i="1" s="1"/>
  <c r="AP162" i="1" s="1"/>
  <c r="AL159" i="1"/>
  <c r="AM159" i="1" s="1"/>
  <c r="AO159" i="1"/>
  <c r="AP159" i="1" s="1"/>
  <c r="AJ106" i="1"/>
  <c r="AO106" i="1" s="1"/>
  <c r="AP106" i="1" s="1"/>
  <c r="AS170" i="1"/>
  <c r="AU170" i="1" s="1"/>
  <c r="AR170" i="1"/>
  <c r="AT170" i="1" s="1"/>
  <c r="AN170" i="1"/>
  <c r="AS180" i="1"/>
  <c r="AU180" i="1" s="1"/>
  <c r="AR180" i="1"/>
  <c r="AT180" i="1" s="1"/>
  <c r="AN180" i="1"/>
  <c r="BQ162" i="1"/>
  <c r="BT162" i="1" s="1"/>
  <c r="BW162" i="1" s="1"/>
  <c r="BW163" i="1" s="1"/>
  <c r="BP162" i="1"/>
  <c r="BS162" i="1" s="1"/>
  <c r="BV162" i="1" s="1"/>
  <c r="BV163" i="1" s="1"/>
  <c r="AM179" i="1"/>
  <c r="AL181" i="1"/>
  <c r="AM181" i="1" s="1"/>
  <c r="AR148" i="1"/>
  <c r="AT148" i="1" s="1"/>
  <c r="AN148" i="1"/>
  <c r="AS148" i="1"/>
  <c r="AU148" i="1" s="1"/>
  <c r="AO134" i="1"/>
  <c r="AP134" i="1" s="1"/>
  <c r="AL134" i="1"/>
  <c r="AM134" i="1" s="1"/>
  <c r="BN162" i="1"/>
  <c r="AK179" i="1"/>
  <c r="AK181" i="1" s="1"/>
  <c r="AK148" i="1"/>
  <c r="AO138" i="1"/>
  <c r="AP138" i="1" s="1"/>
  <c r="AL138" i="1"/>
  <c r="AM138" i="1" s="1"/>
  <c r="AO135" i="1"/>
  <c r="AP135" i="1" s="1"/>
  <c r="AL135" i="1"/>
  <c r="AM135" i="1" s="1"/>
  <c r="AL136" i="1"/>
  <c r="AM136" i="1" s="1"/>
  <c r="AO136" i="1"/>
  <c r="AP136" i="1" s="1"/>
  <c r="BN106" i="1"/>
  <c r="BO106" i="1" s="1"/>
  <c r="BQ106" i="1" s="1"/>
  <c r="BT106" i="1" s="1"/>
  <c r="BW106" i="1" s="1"/>
  <c r="BW107" i="1" s="1"/>
  <c r="AK150" i="1"/>
  <c r="BN139" i="1"/>
  <c r="AL151" i="1"/>
  <c r="AM151" i="1" s="1"/>
  <c r="AM146" i="1"/>
  <c r="AS150" i="1"/>
  <c r="AU150" i="1" s="1"/>
  <c r="AR150" i="1"/>
  <c r="AT150" i="1" s="1"/>
  <c r="AN150" i="1"/>
  <c r="AJ139" i="1"/>
  <c r="AO139" i="1" s="1"/>
  <c r="AP139" i="1" s="1"/>
  <c r="AO133" i="1"/>
  <c r="AP133" i="1" s="1"/>
  <c r="AL133" i="1"/>
  <c r="AK146" i="1"/>
  <c r="AK151" i="1" s="1"/>
  <c r="AS149" i="1"/>
  <c r="AU149" i="1" s="1"/>
  <c r="AR149" i="1"/>
  <c r="AT149" i="1" s="1"/>
  <c r="AN149" i="1"/>
  <c r="AL137" i="1"/>
  <c r="AM137" i="1" s="1"/>
  <c r="AO137" i="1"/>
  <c r="AP137" i="1" s="1"/>
  <c r="AS45" i="1"/>
  <c r="AU45" i="1" s="1"/>
  <c r="AR45" i="1"/>
  <c r="AT45" i="1" s="1"/>
  <c r="AN45" i="1"/>
  <c r="AK149" i="1"/>
  <c r="BQ139" i="1"/>
  <c r="BT139" i="1" s="1"/>
  <c r="BW139" i="1" s="1"/>
  <c r="BW140" i="1" s="1"/>
  <c r="BP139" i="1"/>
  <c r="BS139" i="1" s="1"/>
  <c r="BV139" i="1" s="1"/>
  <c r="BV140" i="1" s="1"/>
  <c r="AO96" i="1" l="1"/>
  <c r="AP96" i="1" s="1"/>
  <c r="AL96" i="1"/>
  <c r="AM96" i="1" s="1"/>
  <c r="AR86" i="1"/>
  <c r="AT86" i="1" s="1"/>
  <c r="AN86" i="1"/>
  <c r="AS86" i="1"/>
  <c r="AU86" i="1" s="1"/>
  <c r="AL55" i="1"/>
  <c r="AM55" i="1" s="1"/>
  <c r="AO55" i="1"/>
  <c r="AP55" i="1" s="1"/>
  <c r="AR23" i="1"/>
  <c r="AT23" i="1" s="1"/>
  <c r="AN23" i="1"/>
  <c r="AS23" i="1"/>
  <c r="AU23" i="1" s="1"/>
  <c r="AN11" i="1"/>
  <c r="AR11" i="1"/>
  <c r="AT11" i="1" s="1"/>
  <c r="AS11" i="1"/>
  <c r="AU11" i="1" s="1"/>
  <c r="AL122" i="1"/>
  <c r="AM122" i="1" s="1"/>
  <c r="AS122" i="1" s="1"/>
  <c r="AU122" i="1" s="1"/>
  <c r="AJ126" i="1"/>
  <c r="AK123" i="1" s="1"/>
  <c r="AL124" i="1"/>
  <c r="AM124" i="1" s="1"/>
  <c r="AS124" i="1" s="1"/>
  <c r="AU124" i="1" s="1"/>
  <c r="BP126" i="1"/>
  <c r="BS126" i="1" s="1"/>
  <c r="BV126" i="1" s="1"/>
  <c r="BV127" i="1" s="1"/>
  <c r="AO113" i="1"/>
  <c r="AP113" i="1" s="1"/>
  <c r="AL113" i="1"/>
  <c r="AJ115" i="1"/>
  <c r="AO114" i="1"/>
  <c r="AP114" i="1" s="1"/>
  <c r="AL114" i="1"/>
  <c r="AM114" i="1" s="1"/>
  <c r="AL12" i="1"/>
  <c r="AM12" i="1" s="1"/>
  <c r="AO12" i="1"/>
  <c r="AP12" i="1" s="1"/>
  <c r="AK104" i="1"/>
  <c r="AN104" i="1"/>
  <c r="AR104" i="1"/>
  <c r="AT104" i="1" s="1"/>
  <c r="AS104" i="1"/>
  <c r="AU104" i="1" s="1"/>
  <c r="AR105" i="1"/>
  <c r="AT105" i="1" s="1"/>
  <c r="AS105" i="1"/>
  <c r="AU105" i="1" s="1"/>
  <c r="AN105" i="1"/>
  <c r="AK105" i="1"/>
  <c r="BQ77" i="1"/>
  <c r="BT77" i="1" s="1"/>
  <c r="BW77" i="1" s="1"/>
  <c r="BW78" i="1" s="1"/>
  <c r="BN46" i="1"/>
  <c r="AL74" i="1"/>
  <c r="AM74" i="1" s="1"/>
  <c r="AN74" i="1" s="1"/>
  <c r="AO73" i="1"/>
  <c r="AP73" i="1" s="1"/>
  <c r="AR73" i="1" s="1"/>
  <c r="AT73" i="1" s="1"/>
  <c r="AO75" i="1"/>
  <c r="AP75" i="1" s="1"/>
  <c r="AS75" i="1" s="1"/>
  <c r="AU75" i="1" s="1"/>
  <c r="AJ77" i="1"/>
  <c r="AK75" i="1" s="1"/>
  <c r="AN65" i="1"/>
  <c r="AR65" i="1"/>
  <c r="AT65" i="1" s="1"/>
  <c r="AS65" i="1"/>
  <c r="AU65" i="1" s="1"/>
  <c r="AK44" i="1"/>
  <c r="AL84" i="1"/>
  <c r="AM84" i="1" s="1"/>
  <c r="AN84" i="1" s="1"/>
  <c r="AR76" i="1"/>
  <c r="AT76" i="1" s="1"/>
  <c r="AS76" i="1"/>
  <c r="AU76" i="1" s="1"/>
  <c r="AN76" i="1"/>
  <c r="AN75" i="1"/>
  <c r="AH95" i="1"/>
  <c r="AJ95" i="1" s="1"/>
  <c r="AO95" i="1" s="1"/>
  <c r="AP95" i="1" s="1"/>
  <c r="AH94" i="1"/>
  <c r="AJ94" i="1" s="1"/>
  <c r="AO94" i="1" s="1"/>
  <c r="AP94" i="1" s="1"/>
  <c r="AM44" i="1"/>
  <c r="AS44" i="1" s="1"/>
  <c r="AU44" i="1" s="1"/>
  <c r="BP66" i="1"/>
  <c r="BS66" i="1" s="1"/>
  <c r="BV66" i="1" s="1"/>
  <c r="BV67" i="1" s="1"/>
  <c r="AM46" i="1"/>
  <c r="AN46" i="1" s="1"/>
  <c r="AS123" i="1"/>
  <c r="AU123" i="1" s="1"/>
  <c r="AR123" i="1"/>
  <c r="AT123" i="1" s="1"/>
  <c r="AK45" i="1"/>
  <c r="AL25" i="1"/>
  <c r="AM25" i="1" s="1"/>
  <c r="AS25" i="1" s="1"/>
  <c r="AU25" i="1" s="1"/>
  <c r="AH36" i="1"/>
  <c r="AJ36" i="1" s="1"/>
  <c r="AL36" i="1" s="1"/>
  <c r="AM36" i="1" s="1"/>
  <c r="AN36" i="1" s="1"/>
  <c r="AL63" i="1"/>
  <c r="AL66" i="1" s="1"/>
  <c r="AJ66" i="1"/>
  <c r="AK65" i="1" s="1"/>
  <c r="AO64" i="1"/>
  <c r="AP64" i="1" s="1"/>
  <c r="AS64" i="1" s="1"/>
  <c r="AU64" i="1" s="1"/>
  <c r="BQ56" i="1"/>
  <c r="BT56" i="1" s="1"/>
  <c r="BW56" i="1" s="1"/>
  <c r="BW57" i="1" s="1"/>
  <c r="AH54" i="1"/>
  <c r="AJ54" i="1" s="1"/>
  <c r="AL54" i="1" s="1"/>
  <c r="AM54" i="1" s="1"/>
  <c r="AH53" i="1"/>
  <c r="AJ53" i="1" s="1"/>
  <c r="BP37" i="1"/>
  <c r="BS37" i="1" s="1"/>
  <c r="BV37" i="1" s="1"/>
  <c r="BV38" i="1" s="1"/>
  <c r="AO85" i="1"/>
  <c r="AP85" i="1" s="1"/>
  <c r="AS85" i="1" s="1"/>
  <c r="AU85" i="1" s="1"/>
  <c r="AO22" i="1"/>
  <c r="AP22" i="1" s="1"/>
  <c r="AR22" i="1" s="1"/>
  <c r="AT22" i="1" s="1"/>
  <c r="AO24" i="1"/>
  <c r="AP24" i="1" s="1"/>
  <c r="AS24" i="1" s="1"/>
  <c r="AU24" i="1" s="1"/>
  <c r="AJ87" i="1"/>
  <c r="AK86" i="1" s="1"/>
  <c r="AJ26" i="1"/>
  <c r="AK23" i="1" s="1"/>
  <c r="AO21" i="1"/>
  <c r="AP21" i="1" s="1"/>
  <c r="BN97" i="1"/>
  <c r="BO97" i="1" s="1"/>
  <c r="BQ97" i="1" s="1"/>
  <c r="BT97" i="1" s="1"/>
  <c r="BW97" i="1" s="1"/>
  <c r="BW98" i="1" s="1"/>
  <c r="AH35" i="1"/>
  <c r="AJ35" i="1" s="1"/>
  <c r="AO35" i="1" s="1"/>
  <c r="AP35" i="1" s="1"/>
  <c r="AH34" i="1"/>
  <c r="AJ34" i="1" s="1"/>
  <c r="AO34" i="1" s="1"/>
  <c r="AP34" i="1" s="1"/>
  <c r="AO10" i="1"/>
  <c r="AP10" i="1" s="1"/>
  <c r="AL10" i="1"/>
  <c r="AM10" i="1" s="1"/>
  <c r="AH33" i="1"/>
  <c r="AJ33" i="1" s="1"/>
  <c r="AL33" i="1" s="1"/>
  <c r="AM33" i="1" s="1"/>
  <c r="BQ37" i="1"/>
  <c r="BT37" i="1" s="1"/>
  <c r="BW37" i="1" s="1"/>
  <c r="BW38" i="1" s="1"/>
  <c r="AL9" i="1"/>
  <c r="AM9" i="1" s="1"/>
  <c r="AO9" i="1"/>
  <c r="AP9" i="1" s="1"/>
  <c r="AJ14" i="1"/>
  <c r="AK11" i="1" s="1"/>
  <c r="BP14" i="1"/>
  <c r="BS14" i="1" s="1"/>
  <c r="BV14" i="1" s="1"/>
  <c r="BV15" i="1" s="1"/>
  <c r="BQ14" i="1"/>
  <c r="BT14" i="1" s="1"/>
  <c r="BW14" i="1" s="1"/>
  <c r="BW15" i="1" s="1"/>
  <c r="BN14" i="1"/>
  <c r="AO13" i="1"/>
  <c r="AP13" i="1" s="1"/>
  <c r="AL13" i="1"/>
  <c r="AM13" i="1" s="1"/>
  <c r="AM21" i="1"/>
  <c r="BP106" i="1"/>
  <c r="BS106" i="1" s="1"/>
  <c r="BV106" i="1" s="1"/>
  <c r="BV107" i="1" s="1"/>
  <c r="AU183" i="1"/>
  <c r="AT183" i="1"/>
  <c r="AS181" i="1"/>
  <c r="AU181" i="1" s="1"/>
  <c r="AR181" i="1"/>
  <c r="AT181" i="1" s="1"/>
  <c r="AN181" i="1"/>
  <c r="AN179" i="1"/>
  <c r="AS179" i="1"/>
  <c r="AU179" i="1" s="1"/>
  <c r="AR179" i="1"/>
  <c r="AT179" i="1" s="1"/>
  <c r="AS159" i="1"/>
  <c r="AU159" i="1" s="1"/>
  <c r="AR159" i="1"/>
  <c r="AT159" i="1" s="1"/>
  <c r="AN159" i="1"/>
  <c r="AK136" i="1"/>
  <c r="AS134" i="1"/>
  <c r="AU134" i="1" s="1"/>
  <c r="AN134" i="1"/>
  <c r="AR134" i="1"/>
  <c r="AT134" i="1" s="1"/>
  <c r="AS135" i="1"/>
  <c r="AU135" i="1" s="1"/>
  <c r="AR135" i="1"/>
  <c r="AT135" i="1" s="1"/>
  <c r="AN135" i="1"/>
  <c r="AK134" i="1"/>
  <c r="AL106" i="1"/>
  <c r="AM106" i="1" s="1"/>
  <c r="AS160" i="1"/>
  <c r="AU160" i="1" s="1"/>
  <c r="AR160" i="1"/>
  <c r="AT160" i="1" s="1"/>
  <c r="AN160" i="1"/>
  <c r="AR136" i="1"/>
  <c r="AT136" i="1" s="1"/>
  <c r="AN136" i="1"/>
  <c r="AS136" i="1"/>
  <c r="AU136" i="1" s="1"/>
  <c r="AK135" i="1"/>
  <c r="AN161" i="1"/>
  <c r="AR161" i="1"/>
  <c r="AT161" i="1" s="1"/>
  <c r="AS161" i="1"/>
  <c r="AU161" i="1" s="1"/>
  <c r="AS138" i="1"/>
  <c r="AU138" i="1" s="1"/>
  <c r="AN138" i="1"/>
  <c r="AR138" i="1"/>
  <c r="AT138" i="1" s="1"/>
  <c r="AK137" i="1"/>
  <c r="AS137" i="1"/>
  <c r="AU137" i="1" s="1"/>
  <c r="AR137" i="1"/>
  <c r="AT137" i="1" s="1"/>
  <c r="AN137" i="1"/>
  <c r="AK133" i="1"/>
  <c r="AK139" i="1" s="1"/>
  <c r="AS146" i="1"/>
  <c r="AU146" i="1" s="1"/>
  <c r="AN146" i="1"/>
  <c r="AR146" i="1"/>
  <c r="AT146" i="1" s="1"/>
  <c r="AK138" i="1"/>
  <c r="AK161" i="1"/>
  <c r="AS169" i="1"/>
  <c r="AU169" i="1" s="1"/>
  <c r="AN169" i="1"/>
  <c r="AR169" i="1"/>
  <c r="AT169" i="1" s="1"/>
  <c r="AM158" i="1"/>
  <c r="AL162" i="1"/>
  <c r="AM162" i="1" s="1"/>
  <c r="AM133" i="1"/>
  <c r="AL139" i="1"/>
  <c r="AM139" i="1" s="1"/>
  <c r="AN151" i="1"/>
  <c r="AU153" i="1"/>
  <c r="AT153" i="1"/>
  <c r="AS151" i="1"/>
  <c r="AU151" i="1" s="1"/>
  <c r="AR151" i="1"/>
  <c r="AT151" i="1" s="1"/>
  <c r="AK159" i="1"/>
  <c r="AK158" i="1"/>
  <c r="AK162" i="1" s="1"/>
  <c r="AK160" i="1"/>
  <c r="AS172" i="1"/>
  <c r="AU172" i="1" s="1"/>
  <c r="AR172" i="1"/>
  <c r="AT172" i="1" s="1"/>
  <c r="AN172" i="1"/>
  <c r="AU174" i="1"/>
  <c r="AT174" i="1"/>
  <c r="AN96" i="1" l="1"/>
  <c r="AR96" i="1"/>
  <c r="AT96" i="1" s="1"/>
  <c r="AS96" i="1"/>
  <c r="AU96" i="1" s="1"/>
  <c r="AL126" i="1"/>
  <c r="AM126" i="1" s="1"/>
  <c r="AN55" i="1"/>
  <c r="AR55" i="1"/>
  <c r="AT55" i="1" s="1"/>
  <c r="AS55" i="1"/>
  <c r="AU55" i="1" s="1"/>
  <c r="AK125" i="1"/>
  <c r="AK122" i="1"/>
  <c r="AK124" i="1"/>
  <c r="AR122" i="1"/>
  <c r="AT122" i="1" s="1"/>
  <c r="AO126" i="1"/>
  <c r="AP126" i="1" s="1"/>
  <c r="AS126" i="1" s="1"/>
  <c r="AU126" i="1" s="1"/>
  <c r="AN122" i="1"/>
  <c r="AN124" i="1"/>
  <c r="AR124" i="1"/>
  <c r="AT124" i="1" s="1"/>
  <c r="AK126" i="1"/>
  <c r="AR114" i="1"/>
  <c r="AT114" i="1" s="1"/>
  <c r="AN114" i="1"/>
  <c r="AS114" i="1"/>
  <c r="AU114" i="1" s="1"/>
  <c r="AO115" i="1"/>
  <c r="AP115" i="1" s="1"/>
  <c r="AK113" i="1"/>
  <c r="AK114" i="1"/>
  <c r="AL115" i="1"/>
  <c r="AM115" i="1" s="1"/>
  <c r="AM113" i="1"/>
  <c r="AK12" i="1"/>
  <c r="AN12" i="1"/>
  <c r="AR12" i="1"/>
  <c r="AT12" i="1" s="1"/>
  <c r="AS12" i="1"/>
  <c r="AU12" i="1" s="1"/>
  <c r="AS74" i="1"/>
  <c r="AU74" i="1" s="1"/>
  <c r="AO87" i="1"/>
  <c r="AP87" i="1" s="1"/>
  <c r="AS73" i="1"/>
  <c r="AU73" i="1" s="1"/>
  <c r="AK46" i="1"/>
  <c r="AL95" i="1"/>
  <c r="AM95" i="1" s="1"/>
  <c r="AR95" i="1" s="1"/>
  <c r="AT95" i="1" s="1"/>
  <c r="AK24" i="1"/>
  <c r="AL77" i="1"/>
  <c r="AM77" i="1" s="1"/>
  <c r="AT79" i="1" s="1"/>
  <c r="AR74" i="1"/>
  <c r="AT74" i="1" s="1"/>
  <c r="AR84" i="1"/>
  <c r="AT84" i="1" s="1"/>
  <c r="AS84" i="1"/>
  <c r="AU84" i="1" s="1"/>
  <c r="AK73" i="1"/>
  <c r="AR75" i="1"/>
  <c r="AT75" i="1" s="1"/>
  <c r="AO77" i="1"/>
  <c r="AP77" i="1" s="1"/>
  <c r="AK74" i="1"/>
  <c r="AK76" i="1"/>
  <c r="AT128" i="1"/>
  <c r="AU128" i="1"/>
  <c r="AR44" i="1"/>
  <c r="AT44" i="1" s="1"/>
  <c r="AN44" i="1"/>
  <c r="AN126" i="1"/>
  <c r="AJ97" i="1"/>
  <c r="AK96" i="1" s="1"/>
  <c r="AL94" i="1"/>
  <c r="AM94" i="1" s="1"/>
  <c r="AR46" i="1"/>
  <c r="AT46" i="1" s="1"/>
  <c r="AS46" i="1"/>
  <c r="AU46" i="1" s="1"/>
  <c r="AT48" i="1"/>
  <c r="AU48" i="1"/>
  <c r="AN25" i="1"/>
  <c r="AL26" i="1"/>
  <c r="AM26" i="1" s="1"/>
  <c r="AN26" i="1" s="1"/>
  <c r="AR25" i="1"/>
  <c r="AT25" i="1" s="1"/>
  <c r="AM66" i="1"/>
  <c r="AU68" i="1" s="1"/>
  <c r="AO36" i="1"/>
  <c r="AP36" i="1" s="1"/>
  <c r="AR36" i="1" s="1"/>
  <c r="AT36" i="1" s="1"/>
  <c r="AK25" i="1"/>
  <c r="AM63" i="1"/>
  <c r="AS63" i="1" s="1"/>
  <c r="AU63" i="1" s="1"/>
  <c r="AR64" i="1"/>
  <c r="AT64" i="1" s="1"/>
  <c r="AR85" i="1"/>
  <c r="AT85" i="1" s="1"/>
  <c r="AO54" i="1"/>
  <c r="AP54" i="1" s="1"/>
  <c r="AS54" i="1" s="1"/>
  <c r="AU54" i="1" s="1"/>
  <c r="AK64" i="1"/>
  <c r="AO66" i="1"/>
  <c r="AP66" i="1" s="1"/>
  <c r="AK63" i="1"/>
  <c r="AK22" i="1"/>
  <c r="AO53" i="1"/>
  <c r="AP53" i="1" s="1"/>
  <c r="AL53" i="1"/>
  <c r="AM53" i="1" s="1"/>
  <c r="AN53" i="1" s="1"/>
  <c r="AJ56" i="1"/>
  <c r="AK55" i="1" s="1"/>
  <c r="AS22" i="1"/>
  <c r="AU22" i="1" s="1"/>
  <c r="AL87" i="1"/>
  <c r="AM87" i="1" s="1"/>
  <c r="AU89" i="1" s="1"/>
  <c r="AN54" i="1"/>
  <c r="AK84" i="1"/>
  <c r="AR24" i="1"/>
  <c r="AT24" i="1" s="1"/>
  <c r="AK21" i="1"/>
  <c r="AK85" i="1"/>
  <c r="AO26" i="1"/>
  <c r="AP26" i="1" s="1"/>
  <c r="BP97" i="1"/>
  <c r="BS97" i="1" s="1"/>
  <c r="BV97" i="1" s="1"/>
  <c r="BV98" i="1" s="1"/>
  <c r="AL35" i="1"/>
  <c r="AM35" i="1" s="1"/>
  <c r="AS35" i="1" s="1"/>
  <c r="AU35" i="1" s="1"/>
  <c r="AO33" i="1"/>
  <c r="AP33" i="1" s="1"/>
  <c r="AR33" i="1" s="1"/>
  <c r="AT33" i="1" s="1"/>
  <c r="AS9" i="1"/>
  <c r="AU9" i="1" s="1"/>
  <c r="AR9" i="1"/>
  <c r="AT9" i="1" s="1"/>
  <c r="AN9" i="1"/>
  <c r="AJ37" i="1"/>
  <c r="AL34" i="1"/>
  <c r="AM34" i="1" s="1"/>
  <c r="AN10" i="1"/>
  <c r="AR10" i="1"/>
  <c r="AT10" i="1" s="1"/>
  <c r="AS10" i="1"/>
  <c r="AU10" i="1" s="1"/>
  <c r="AL14" i="1"/>
  <c r="AM14" i="1" s="1"/>
  <c r="AS13" i="1"/>
  <c r="AU13" i="1" s="1"/>
  <c r="AR13" i="1"/>
  <c r="AT13" i="1" s="1"/>
  <c r="AN13" i="1"/>
  <c r="AO14" i="1"/>
  <c r="AP14" i="1" s="1"/>
  <c r="AK10" i="1"/>
  <c r="AK13" i="1"/>
  <c r="AK9" i="1"/>
  <c r="AS21" i="1"/>
  <c r="AU21" i="1" s="1"/>
  <c r="AR21" i="1"/>
  <c r="AT21" i="1" s="1"/>
  <c r="AN21" i="1"/>
  <c r="AK106" i="1"/>
  <c r="AS133" i="1"/>
  <c r="AU133" i="1" s="1"/>
  <c r="AR133" i="1"/>
  <c r="AT133" i="1" s="1"/>
  <c r="AN133" i="1"/>
  <c r="AR139" i="1"/>
  <c r="AT139" i="1" s="1"/>
  <c r="AU141" i="1"/>
  <c r="AT141" i="1"/>
  <c r="AS139" i="1"/>
  <c r="AU139" i="1" s="1"/>
  <c r="AN139" i="1"/>
  <c r="AU108" i="1"/>
  <c r="AT108" i="1"/>
  <c r="AS106" i="1"/>
  <c r="AU106" i="1" s="1"/>
  <c r="AN106" i="1"/>
  <c r="AR106" i="1"/>
  <c r="AT106" i="1" s="1"/>
  <c r="AN158" i="1"/>
  <c r="AR158" i="1"/>
  <c r="AT158" i="1" s="1"/>
  <c r="AS158" i="1"/>
  <c r="AU158" i="1" s="1"/>
  <c r="AS162" i="1"/>
  <c r="AU162" i="1" s="1"/>
  <c r="AR162" i="1"/>
  <c r="AT162" i="1" s="1"/>
  <c r="AN162" i="1"/>
  <c r="AU164" i="1"/>
  <c r="AT164" i="1"/>
  <c r="AN33" i="1"/>
  <c r="AR126" i="1" l="1"/>
  <c r="AT126" i="1" s="1"/>
  <c r="AR113" i="1"/>
  <c r="AT113" i="1" s="1"/>
  <c r="AS113" i="1"/>
  <c r="AU113" i="1" s="1"/>
  <c r="AN113" i="1"/>
  <c r="AK115" i="1"/>
  <c r="AT117" i="1"/>
  <c r="AN115" i="1"/>
  <c r="AS115" i="1"/>
  <c r="AU115" i="1" s="1"/>
  <c r="AU117" i="1"/>
  <c r="AR115" i="1"/>
  <c r="AT115" i="1" s="1"/>
  <c r="AS95" i="1"/>
  <c r="AU95" i="1" s="1"/>
  <c r="AN95" i="1"/>
  <c r="AR77" i="1"/>
  <c r="AT77" i="1" s="1"/>
  <c r="AS77" i="1"/>
  <c r="AU77" i="1" s="1"/>
  <c r="AO37" i="1"/>
  <c r="AP37" i="1" s="1"/>
  <c r="AK77" i="1"/>
  <c r="AU79" i="1"/>
  <c r="AN77" i="1"/>
  <c r="AK94" i="1"/>
  <c r="AO97" i="1"/>
  <c r="AP97" i="1" s="1"/>
  <c r="AL97" i="1"/>
  <c r="AM97" i="1" s="1"/>
  <c r="AT99" i="1" s="1"/>
  <c r="AK95" i="1"/>
  <c r="AS36" i="1"/>
  <c r="AU36" i="1" s="1"/>
  <c r="AN63" i="1"/>
  <c r="AT68" i="1"/>
  <c r="AN66" i="1"/>
  <c r="AR63" i="1"/>
  <c r="AT63" i="1" s="1"/>
  <c r="AK66" i="1"/>
  <c r="AR54" i="1"/>
  <c r="AT54" i="1" s="1"/>
  <c r="AT89" i="1"/>
  <c r="AK26" i="1"/>
  <c r="AL56" i="1"/>
  <c r="AM56" i="1" s="1"/>
  <c r="AU58" i="1" s="1"/>
  <c r="AS66" i="1"/>
  <c r="AU66" i="1" s="1"/>
  <c r="AR66" i="1"/>
  <c r="AT66" i="1" s="1"/>
  <c r="AK53" i="1"/>
  <c r="AK54" i="1"/>
  <c r="AO56" i="1"/>
  <c r="AP56" i="1" s="1"/>
  <c r="AR53" i="1"/>
  <c r="AT53" i="1" s="1"/>
  <c r="AN87" i="1"/>
  <c r="AS53" i="1"/>
  <c r="AU53" i="1" s="1"/>
  <c r="AS87" i="1"/>
  <c r="AU87" i="1" s="1"/>
  <c r="AR87" i="1"/>
  <c r="AT87" i="1" s="1"/>
  <c r="AR26" i="1"/>
  <c r="AT26" i="1" s="1"/>
  <c r="AU28" i="1"/>
  <c r="AK87" i="1"/>
  <c r="AS26" i="1"/>
  <c r="AU26" i="1" s="1"/>
  <c r="AT28" i="1"/>
  <c r="AS33" i="1"/>
  <c r="AU33" i="1" s="1"/>
  <c r="AK34" i="1"/>
  <c r="AR35" i="1"/>
  <c r="AT35" i="1" s="1"/>
  <c r="AN35" i="1"/>
  <c r="AK33" i="1"/>
  <c r="AK36" i="1"/>
  <c r="AK35" i="1"/>
  <c r="AK14" i="1"/>
  <c r="AN94" i="1"/>
  <c r="AR94" i="1"/>
  <c r="AT94" i="1" s="1"/>
  <c r="AS94" i="1"/>
  <c r="AU94" i="1" s="1"/>
  <c r="AL37" i="1"/>
  <c r="AM37" i="1" s="1"/>
  <c r="AS34" i="1"/>
  <c r="AU34" i="1" s="1"/>
  <c r="AN34" i="1"/>
  <c r="AR34" i="1"/>
  <c r="AT34" i="1" s="1"/>
  <c r="AS14" i="1"/>
  <c r="AU14" i="1" s="1"/>
  <c r="AR14" i="1"/>
  <c r="AT14" i="1" s="1"/>
  <c r="AN14" i="1"/>
  <c r="AU16" i="1"/>
  <c r="AT16" i="1"/>
  <c r="AS97" i="1" l="1"/>
  <c r="AU97" i="1" s="1"/>
  <c r="AR97" i="1"/>
  <c r="AT97" i="1" s="1"/>
  <c r="AU99" i="1"/>
  <c r="AN97" i="1"/>
  <c r="AK97" i="1"/>
  <c r="AR56" i="1"/>
  <c r="AT56" i="1" s="1"/>
  <c r="AT58" i="1"/>
  <c r="AN56" i="1"/>
  <c r="AK56" i="1"/>
  <c r="AS56" i="1"/>
  <c r="AU56" i="1" s="1"/>
  <c r="AK37" i="1"/>
  <c r="AS37" i="1"/>
  <c r="AU37" i="1" s="1"/>
  <c r="AR37" i="1"/>
  <c r="AT37" i="1" s="1"/>
  <c r="AN37" i="1"/>
  <c r="AU39" i="1"/>
  <c r="AT39" i="1"/>
</calcChain>
</file>

<file path=xl/sharedStrings.xml><?xml version="1.0" encoding="utf-8"?>
<sst xmlns="http://schemas.openxmlformats.org/spreadsheetml/2006/main" count="2908" uniqueCount="491">
  <si>
    <t xml:space="preserve">Si nº eventos = </t>
  </si>
  <si>
    <t>sustituir por</t>
  </si>
  <si>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</si>
  <si>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</si>
  <si>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MODELO DE EFECTOS FIJOS, CON CADA PESO SEGÚN SU RESPECTIVO INVERSO DE LA VARIANZA</t>
  </si>
  <si>
    <t>MODELO DE EFECTOS ALEATORIOS, CON LOS PESOS SEGÚN DerSimonian-Laird</t>
  </si>
  <si>
    <t>Variable buscada</t>
  </si>
  <si>
    <t>Nº pacientes grupo intervención</t>
  </si>
  <si>
    <t>Nº pacientes grupo control</t>
  </si>
  <si>
    <t>Si evento</t>
  </si>
  <si>
    <t>No evento</t>
  </si>
  <si>
    <t>Total</t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</si>
  <si>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</si>
  <si>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</si>
  <si>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</si>
  <si>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</si>
  <si>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</si>
  <si>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</si>
  <si>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</si>
  <si>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</si>
  <si>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</si>
  <si>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</si>
  <si>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límite inferior IC elegido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</si>
  <si>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</si>
  <si>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</si>
  <si>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</si>
  <si>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</si>
  <si>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</si>
  <si>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</si>
  <si>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</si>
  <si>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</si>
  <si>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</si>
  <si>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</si>
  <si>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</si>
  <si>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</si>
  <si>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</si>
  <si>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</si>
  <si>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</si>
  <si>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</si>
  <si>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</si>
  <si>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</si>
  <si>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</si>
  <si>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</si>
  <si>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t>ln Q</t>
  </si>
  <si>
    <t>ln k-1</t>
  </si>
  <si>
    <t>Raíz 2Q</t>
  </si>
  <si>
    <t>Raíz(2k-3)</t>
  </si>
  <si>
    <t>2(k-2)</t>
  </si>
  <si>
    <t>A</t>
  </si>
  <si>
    <t>B</t>
  </si>
  <si>
    <t>ECA 1</t>
  </si>
  <si>
    <t>ECA 2</t>
  </si>
  <si>
    <t>ECA 3</t>
  </si>
  <si>
    <t>ECA 4</t>
  </si>
  <si>
    <t>ECA 5</t>
  </si>
  <si>
    <t>ECA 6</t>
  </si>
  <si>
    <t>p =</t>
  </si>
  <si>
    <t xml:space="preserve">Como Q =&lt; k, Utilizar 1ª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</si>
  <si>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</si>
  <si>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</si>
  <si>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</si>
  <si>
    <t>I2 teórica</t>
  </si>
  <si>
    <t xml:space="preserve">I2 a utilizar: 1) si Q &lt; k-1 =  0; 2) si no, =&gt; I2 teórica </t>
  </si>
  <si>
    <t>H2</t>
  </si>
  <si>
    <t>ln H2</t>
  </si>
  <si>
    <t>3(k-2)2</t>
  </si>
  <si>
    <t>1º EE[ln(H2)] si Q =&lt; K</t>
  </si>
  <si>
    <t>2º EE[ln(H2)]  sí Q  &gt; K</t>
  </si>
  <si>
    <t>EE[ln(H2)] que utilizo</t>
  </si>
  <si>
    <t>ln(H2) - 1,96 * EE[ln(H2)]</t>
  </si>
  <si>
    <t>ln(H2) + 1,96 * EE[ln(H2)]</t>
  </si>
  <si>
    <t>lím inferior IC de H2</t>
  </si>
  <si>
    <t>lím superior IC de H2</t>
  </si>
  <si>
    <t xml:space="preserve">ECAs que informan de: </t>
  </si>
  <si>
    <t>Grupo de Intervención</t>
  </si>
  <si>
    <t>Grupo de Control</t>
  </si>
  <si>
    <t>Años de seguimiento</t>
  </si>
  <si>
    <t>Nº personas-año</t>
  </si>
  <si>
    <t>Eventos / 100 personas-año</t>
  </si>
  <si>
    <t>Media de edad (años)</t>
  </si>
  <si>
    <t>Ambos grupos combinados</t>
  </si>
  <si>
    <t>Intervención</t>
  </si>
  <si>
    <t>Control</t>
  </si>
  <si>
    <t>control</t>
  </si>
  <si>
    <t>/</t>
  </si>
  <si>
    <t xml:space="preserve">% RA control = </t>
  </si>
  <si>
    <t>RR (IC 95%) obtenido en el metaanálisis</t>
  </si>
  <si>
    <t>Riesgo basal control en 1 año</t>
  </si>
  <si>
    <t>Estimación puntual</t>
  </si>
  <si>
    <t>LI IC 95%</t>
  </si>
  <si>
    <t>LS IC 95%</t>
  </si>
  <si>
    <t>nº de años</t>
  </si>
  <si>
    <t>RAR (IC 95%)</t>
  </si>
  <si>
    <t>NNT (IC 95%)</t>
  </si>
  <si>
    <t>(</t>
  </si>
  <si>
    <t>-</t>
  </si>
  <si>
    <t>)</t>
  </si>
  <si>
    <t>%</t>
  </si>
  <si>
    <t>% RA Vit D + Caerv</t>
  </si>
  <si>
    <t>% RA control</t>
  </si>
  <si>
    <t>RR (IC 95%)</t>
  </si>
  <si>
    <t>RAR (IC95%)</t>
  </si>
  <si>
    <t>a</t>
  </si>
  <si>
    <t>%Ev en nº de años</t>
  </si>
  <si>
    <t>% RA Interv</t>
  </si>
  <si>
    <t>Puntuación ordinal de importancia o aversión al riesgo</t>
  </si>
  <si>
    <t>Estudios individuales</t>
  </si>
  <si>
    <t>Diseño</t>
  </si>
  <si>
    <t xml:space="preserve">Años de seguimiento (media o mediana) </t>
  </si>
  <si>
    <t>Nº Eventos / total pacientes; Grupo Intervención</t>
  </si>
  <si>
    <t xml:space="preserve"> % Eventos/ año, Grupo Intervención</t>
  </si>
  <si>
    <t>Nº Eventos / total pacientes; Grupo control</t>
  </si>
  <si>
    <t xml:space="preserve"> % Eventos/ año, Grupo control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</si>
  <si>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</si>
  <si>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</si>
  <si>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</si>
  <si>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</si>
  <si>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</si>
  <si>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</si>
  <si>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</si>
  <si>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t>Si aplicamos el Modelo de efectos aleatorios</t>
  </si>
  <si>
    <t xml:space="preserve"> % Eventos, Grupo Intervención</t>
  </si>
  <si>
    <t xml:space="preserve"> % Eventos, Grupo control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</si>
  <si>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</si>
  <si>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</si>
  <si>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</si>
  <si>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</si>
  <si>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</si>
  <si>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</si>
  <si>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</si>
  <si>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 xml:space="preserve">Intervalo de predicción al 95%: </t>
  </si>
  <si>
    <t>En años</t>
  </si>
  <si>
    <t>Ambos</t>
  </si>
  <si>
    <r>
      <t xml:space="preserve">Cálculo por incidencias acumuladas de RR, RAR, NNT con sus IC 95%, potencia estadística y valor de </t>
    </r>
    <r>
      <rPr>
        <b/>
        <i/>
        <sz val="14"/>
        <rFont val="Calibri"/>
        <family val="2"/>
      </rPr>
      <t>p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</si>
  <si>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</si>
  <si>
    <t>Nº de personas con evento</t>
  </si>
  <si>
    <t>Nº personas sin evento</t>
  </si>
  <si>
    <t>Los límites del intervalos de confianza son los exponentes neperianos o antilogaritmos de la ecuación [ ln RR +- Z α/2 x EE (ln RR) ]</t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</si>
  <si>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</si>
  <si>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</si>
  <si>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</si>
  <si>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t>Z α/2 (0,05)</t>
  </si>
  <si>
    <t>ln del LI IC</t>
  </si>
  <si>
    <t>ln del LS IC</t>
  </si>
  <si>
    <t>RR</t>
  </si>
  <si>
    <t>Límite inferior del IC</t>
  </si>
  <si>
    <t>Límite superior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</si>
  <si>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</si>
  <si>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</si>
  <si>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</si>
  <si>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</si>
  <si>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</si>
  <si>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</si>
  <si>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</si>
  <si>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</si>
  <si>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</si>
  <si>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</si>
  <si>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</si>
  <si>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</si>
  <si>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</si>
  <si>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</si>
  <si>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Estimación puntual de la proporción</t>
  </si>
  <si>
    <t>Mét.Wilson</t>
  </si>
  <si>
    <r>
      <t>Cálculo de la potencia estadística</t>
    </r>
    <r>
      <rPr>
        <sz val="10"/>
        <rFont val="Calibri"/>
        <family val="2"/>
      </rPr>
      <t>: Zβ = [Raíz (nd^2 /2pm*qm)] - Z α/2 (0,05)</t>
    </r>
  </si>
  <si>
    <r>
      <t xml:space="preserve">Cálculo de la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Z α/2 = Dif Proporc / EE (Difer Proporc)</t>
    </r>
  </si>
  <si>
    <t>Operar</t>
  </si>
  <si>
    <t>n = nº de los que hay en cada grupo (ojo, no de la suma de ambos)</t>
  </si>
  <si>
    <t>Dif Proporc de ambos grupos =  RAR</t>
  </si>
  <si>
    <t>d = diferencia de proporciones de ambos grupos o RAR</t>
  </si>
  <si>
    <t xml:space="preserve">EE (Dif Proporc) = Raíz[ pm(1-pm)/n1] + [ pm(1-pm)/n2] = </t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</si>
  <si>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</si>
  <si>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</si>
  <si>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</si>
  <si>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</si>
  <si>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α = probab de que la diferencia detectada entre ambos sea debida al azar, en caso de que no exista (error alfa)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</si>
  <si>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</si>
  <si>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</si>
  <si>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probabilidad dar por buena una diferencia que no existe.</t>
  </si>
  <si>
    <t>Cálculo del IC del RAR y del NNT</t>
  </si>
  <si>
    <t>---------------------------------------------&gt;</t>
  </si>
  <si>
    <t>RAR =</t>
  </si>
  <si>
    <t>probabliidad o riesgo de cometer un error β =&gt; probabilidad de no detectar una diferencia que sí exista.</t>
  </si>
  <si>
    <t>NNT =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</si>
  <si>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</si>
  <si>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</si>
  <si>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</si>
  <si>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</si>
  <si>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</si>
  <si>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</si>
  <si>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</si>
  <si>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</si>
  <si>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Chi cuadrado de Pearson (un ejemplo de variable cualitativa)</t>
  </si>
  <si>
    <t>Enfermarán incluso sin tomar el Mto de Intervención</t>
  </si>
  <si>
    <t>Enferman</t>
  </si>
  <si>
    <t>No enferman</t>
  </si>
  <si>
    <t>Esperadas</t>
  </si>
  <si>
    <t>Con eventos</t>
  </si>
  <si>
    <t>Sin eventos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</si>
  <si>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</si>
  <si>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</si>
  <si>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</si>
  <si>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</si>
  <si>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</si>
  <si>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</si>
  <si>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</si>
  <si>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</si>
  <si>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</si>
  <si>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cal= Sumat (observado i - esperado i)^2 / esperado i)</t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</si>
  <si>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</si>
  <si>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</si>
  <si>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</si>
  <si>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</si>
  <si>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</si>
  <si>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</si>
  <si>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 xml:space="preserve">CÁLCULOS POR INCIDENCIAS ACUMULADAS EN </t>
  </si>
  <si>
    <t>AÑOS</t>
  </si>
  <si>
    <t>Nº event Interv (%)</t>
  </si>
  <si>
    <t>Nº event Control (%)</t>
  </si>
  <si>
    <t>RAR</t>
  </si>
  <si>
    <t>NNT</t>
  </si>
  <si>
    <t>potencia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</si>
  <si>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</si>
  <si>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</si>
  <si>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BASTIDOR</t>
  </si>
  <si>
    <r>
      <rPr>
        <i/>
        <sz val="10"/>
        <rFont val="Calibri"/>
        <family val="2"/>
      </rPr>
      <t>I</t>
    </r>
    <r>
      <rPr>
        <i/>
        <vertAlign val="superscript"/>
        <sz val="10"/>
        <rFont val="Calibri"/>
        <family val="2"/>
      </rPr>
      <t>2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 </t>
    </r>
    <r>
      <rPr>
        <sz val="10"/>
        <color rgb="FF99CC00"/>
        <rFont val="Calibri"/>
        <family val="2"/>
      </rPr>
      <t>0%-25%: heterogeneidad baja</t>
    </r>
    <r>
      <rPr>
        <sz val="10"/>
        <color rgb="FF00000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color rgb="FF000000"/>
        <rFont val="Calibri"/>
        <family val="2"/>
      </rPr>
      <t xml:space="preserve">, </t>
    </r>
    <r>
      <rPr>
        <sz val="10"/>
        <color rgb="FFFF00FF"/>
        <rFont val="Calibri"/>
        <family val="2"/>
      </rPr>
      <t>50%-75%: alta</t>
    </r>
    <r>
      <rPr>
        <sz val="10"/>
        <color rgb="FF000000"/>
        <rFont val="Calibri"/>
        <family val="2"/>
      </rPr>
      <t xml:space="preserve">; y </t>
    </r>
    <r>
      <rPr>
        <sz val="10"/>
        <color rgb="FFFF0000"/>
        <rFont val="Calibri"/>
        <family val="2"/>
      </rPr>
      <t>75%-100%: muy alta</t>
    </r>
    <r>
      <rPr>
        <sz val="10"/>
        <color rgb="FF000000"/>
        <rFont val="Calibri"/>
        <family val="2"/>
      </rPr>
      <t xml:space="preserve"> </t>
    </r>
  </si>
  <si>
    <t>Rebaja por su intervalo de predicción:</t>
  </si>
  <si>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</si>
  <si>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 xml:space="preserve">límite inferior IC de </t>
    </r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</si>
  <si>
    <r>
      <t xml:space="preserve">límite superior IC de </t>
    </r>
    <r>
      <rPr>
        <i/>
        <sz val="10"/>
        <rFont val="Calibri"/>
        <family val="2"/>
        <scheme val="minor"/>
      </rPr>
      <t>I</t>
    </r>
    <r>
      <rPr>
        <i/>
        <vertAlign val="superscript"/>
        <sz val="10"/>
        <rFont val="Calibri"/>
        <family val="2"/>
      </rPr>
      <t>2</t>
    </r>
  </si>
  <si>
    <r>
      <t xml:space="preserve">ÍNDICE DE HETEROGENEIDAD: </t>
    </r>
    <r>
      <rPr>
        <b/>
        <i/>
        <sz val="10"/>
        <rFont val="Calibri"/>
        <family val="2"/>
        <scheme val="minor"/>
      </rPr>
      <t>I</t>
    </r>
    <r>
      <rPr>
        <b/>
        <i/>
        <vertAlign val="superscript"/>
        <sz val="10"/>
        <rFont val="Calibri"/>
        <family val="2"/>
        <scheme val="minor"/>
      </rPr>
      <t>2</t>
    </r>
  </si>
  <si>
    <t>20201008-ECA EMPEROR-red 15m, FEVI 27+50DM [Empa vs Pl], -MACE. Packer</t>
  </si>
  <si>
    <t>20191121-ECA DAPA-HF 17m, FEVI 31+42DM [Dapa vs Pl],-MACE. McMurray</t>
  </si>
  <si>
    <t>20220922-ECA DELIVER 26m, FEVI 54+45DM, [Dapa vs Pl], -InsCar. Solomon</t>
  </si>
  <si>
    <t>Heterogeneidad</t>
  </si>
  <si>
    <t>0,93 (0,87-0,99)</t>
  </si>
  <si>
    <t>0,6% (0,07% a 1,1%)</t>
  </si>
  <si>
    <t>166 (91 a 1513)</t>
  </si>
  <si>
    <t>1,04% (0,11% a 1,9%)</t>
  </si>
  <si>
    <t>97 (53 a 878)</t>
  </si>
  <si>
    <t>en 1,72 años</t>
  </si>
  <si>
    <t>21,69 meses</t>
  </si>
  <si>
    <r>
      <t>I</t>
    </r>
    <r>
      <rPr>
        <b/>
        <i/>
        <vertAlign val="superscript"/>
        <sz val="14"/>
        <rFont val="Calibri"/>
        <family val="2"/>
      </rPr>
      <t xml:space="preserve">2 </t>
    </r>
    <r>
      <rPr>
        <b/>
        <sz val="14"/>
        <rFont val="Calibri"/>
        <family val="2"/>
      </rPr>
      <t xml:space="preserve">= </t>
    </r>
    <r>
      <rPr>
        <b/>
        <sz val="14"/>
        <color rgb="FF669900"/>
        <rFont val="Calibri"/>
        <family val="2"/>
      </rPr>
      <t>0%</t>
    </r>
  </si>
  <si>
    <t>0,90 (0,84-1,03)</t>
  </si>
  <si>
    <t>0,84 (0,72-0,97)</t>
  </si>
  <si>
    <t>2,25% (0,34% a 4,14%)</t>
  </si>
  <si>
    <t>45 (24 a 290)</t>
  </si>
  <si>
    <t>0,94 (0,8-1,1)</t>
  </si>
  <si>
    <t>0,88% (-1,33% a 3,1%)</t>
  </si>
  <si>
    <t>113 (32 a -75)</t>
  </si>
  <si>
    <t>0,86 (0,63-1,18)</t>
  </si>
  <si>
    <t>1,69% (-1,91% a 5,29%)</t>
  </si>
  <si>
    <t>59 (19 a -52)</t>
  </si>
  <si>
    <t>0,99 (0,87-1,12)</t>
  </si>
  <si>
    <t>0,2% (-1,57% a 1,96%)</t>
  </si>
  <si>
    <t>512 (51 a -64)</t>
  </si>
  <si>
    <t>0,95 (0,84-1,06)</t>
  </si>
  <si>
    <t>0,92% (-0,91% a 2,75%)</t>
  </si>
  <si>
    <t>109 (36 a -110)</t>
  </si>
  <si>
    <t>0,88 (0,81-0,96)</t>
  </si>
  <si>
    <t>0,65% (0,22% a 1,04%)</t>
  </si>
  <si>
    <t>154 (96 a 453)</t>
  </si>
  <si>
    <t>1,12% (0,38% a 1,8%)</t>
  </si>
  <si>
    <t>89 (56 a 263)</t>
  </si>
  <si>
    <t>Pob MA /100</t>
  </si>
  <si>
    <t>0,83 (0,7-0,98)</t>
  </si>
  <si>
    <t>1,95% (0,2% a 3,7%)</t>
  </si>
  <si>
    <t>51 (27 a 508)</t>
  </si>
  <si>
    <t>0,93 (0,77-1,12)</t>
  </si>
  <si>
    <t>0,78% (-1,18% a 2,75%)</t>
  </si>
  <si>
    <t>128 (36 a -84)</t>
  </si>
  <si>
    <t>0,89 (0,62-1,27)</t>
  </si>
  <si>
    <t>1,06% (-2,17% a 4,28%)</t>
  </si>
  <si>
    <t>95 (23 a -46)</t>
  </si>
  <si>
    <t>0,9 (0,75-1,07)</t>
  </si>
  <si>
    <t>0,85% (-0,51% a 2,21%)</t>
  </si>
  <si>
    <t>118 (45 a -197)</t>
  </si>
  <si>
    <t>0,89 (0,75-1,05)</t>
  </si>
  <si>
    <t>0,96% (-0,38% a 2,29%)</t>
  </si>
  <si>
    <t>105 (44 a -262)</t>
  </si>
  <si>
    <t>0,78 (0,73-0,84)</t>
  </si>
  <si>
    <t>0,73 (0,62-0,85)</t>
  </si>
  <si>
    <t>3,68% (1,86% a 5,5%)</t>
  </si>
  <si>
    <t>27 (18 a 54)</t>
  </si>
  <si>
    <t>0,72 (0,62-0,84)</t>
  </si>
  <si>
    <t>5,11% (2,78% a 7,45%)</t>
  </si>
  <si>
    <t>20 (13 a 36)</t>
  </si>
  <si>
    <t>0,73 (0,63-0,86)</t>
  </si>
  <si>
    <t>3,13% (1,59% a 4,66%)</t>
  </si>
  <si>
    <t>32 (21 a 63)</t>
  </si>
  <si>
    <t>0,79 (0,69-0,9)</t>
  </si>
  <si>
    <t>2,84% (1,23% a 4,44%)</t>
  </si>
  <si>
    <t>35 (23 a 81)</t>
  </si>
  <si>
    <t>ALTA-MODERADA</t>
  </si>
  <si>
    <t>Moderada</t>
  </si>
  <si>
    <t>Alta-Moderada</t>
  </si>
  <si>
    <t>20,69 meses</t>
  </si>
  <si>
    <t>20210114-ECA SOLOIST 9m, FEVI 35+100DM [Sota vs Pl], -MortCV InsCar. Bhatt</t>
  </si>
  <si>
    <t>si -</t>
  </si>
  <si>
    <t>no</t>
  </si>
  <si>
    <t>mezcl</t>
  </si>
  <si>
    <t>en 1,61 años</t>
  </si>
  <si>
    <t>19,33 meses</t>
  </si>
  <si>
    <t>0,64 (0,5-0,82)</t>
  </si>
  <si>
    <t>4,01% (1,78% a 6,22%)</t>
  </si>
  <si>
    <t>25 (16 a 56)</t>
  </si>
  <si>
    <t>0,75 (0,6-0,95)</t>
  </si>
  <si>
    <t>3,71% (0,64% a 6,77%)</t>
  </si>
  <si>
    <t>27 (15 a 157)</t>
  </si>
  <si>
    <t>0,75 (0,59-0,96)</t>
  </si>
  <si>
    <t>2,23% (0,3% a 4,14%)</t>
  </si>
  <si>
    <t>45 (24 a 338)</t>
  </si>
  <si>
    <t>0,78 (0,29-1,77)</t>
  </si>
  <si>
    <t>0,72 (0,62-0,82)</t>
  </si>
  <si>
    <t>1,99% (1,24% a 2,64%)</t>
  </si>
  <si>
    <t>50 (38 a 81)</t>
  </si>
  <si>
    <t>3,2% (1,99% a 4,26%)</t>
  </si>
  <si>
    <t>31 (23 a 50)</t>
  </si>
  <si>
    <r>
      <rPr>
        <b/>
        <sz val="14"/>
        <color rgb="FF993300"/>
        <rFont val="Calibri"/>
        <family val="2"/>
        <scheme val="minor"/>
      </rPr>
      <t>Tablas M-1 a 3:</t>
    </r>
    <r>
      <rPr>
        <b/>
        <sz val="14"/>
        <rFont val="Calibri"/>
        <family val="2"/>
        <scheme val="minor"/>
      </rPr>
      <t xml:space="preserve"> Metaanálisis de </t>
    </r>
    <r>
      <rPr>
        <b/>
        <u/>
        <sz val="14"/>
        <rFont val="Calibri"/>
        <family val="2"/>
        <scheme val="minor"/>
      </rPr>
      <t>cada variable de Beneficios</t>
    </r>
    <r>
      <rPr>
        <b/>
        <sz val="14"/>
        <rFont val="Calibri"/>
        <family val="2"/>
        <scheme val="minor"/>
      </rPr>
      <t xml:space="preserve"> por el método del inverso de la varianza, desde los eventos hasta el RR (IC 95%), Intervalo de Predicción (IC 95%) e Índice de heterogeneidad </t>
    </r>
    <r>
      <rPr>
        <b/>
        <i/>
        <sz val="14"/>
        <rFont val="Calibri"/>
        <family val="2"/>
        <scheme val="minor"/>
      </rPr>
      <t>I</t>
    </r>
    <r>
      <rPr>
        <b/>
        <i/>
        <vertAlign val="super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(IC 95%)</t>
    </r>
  </si>
  <si>
    <t>0,79 (0,65-0,98)</t>
  </si>
  <si>
    <t>3,33% (0,34% a 6,31%)</t>
  </si>
  <si>
    <t>30 (16 a 295)</t>
  </si>
  <si>
    <t>0,7 (0,57-0,85)</t>
  </si>
  <si>
    <t>6,53% (3,03% a 10,05%)</t>
  </si>
  <si>
    <t>15 (10 a 33)</t>
  </si>
  <si>
    <t>0,72 (0,6-0,88)</t>
  </si>
  <si>
    <t>4,03% (1,63% a 6,43%)</t>
  </si>
  <si>
    <t>25 (16 a 61)</t>
  </si>
  <si>
    <t>2,86% (1,63% a 3,9%)</t>
  </si>
  <si>
    <t>35 (26 a 61)</t>
  </si>
  <si>
    <t>3,86% (2,2% a 5,26%)</t>
  </si>
  <si>
    <t>26 (19 a 46)</t>
  </si>
  <si>
    <t>no aplicable</t>
  </si>
  <si>
    <t>en 1,35 años</t>
  </si>
  <si>
    <t>16,16 meses</t>
  </si>
  <si>
    <t>0,70 (0,59-0,83)</t>
  </si>
  <si>
    <t>MODERADA</t>
  </si>
  <si>
    <t>0,74 (0,69-0,8)</t>
  </si>
  <si>
    <t>5,77%</t>
  </si>
  <si>
    <t>7,75%</t>
  </si>
  <si>
    <t>1,98% (1,53% a 2,39%)</t>
  </si>
  <si>
    <t>51 (42 a 65)</t>
  </si>
  <si>
    <t>10,28%</t>
  </si>
  <si>
    <t>13,8%</t>
  </si>
  <si>
    <t>3,53% (2,73% a 4,26%)</t>
  </si>
  <si>
    <t>28 (23 a 37)</t>
  </si>
  <si>
    <t>21,38 meses</t>
  </si>
  <si>
    <t>en 1,78 años</t>
  </si>
  <si>
    <t>0,74 (0,63-0,88)</t>
  </si>
  <si>
    <t>7,7%</t>
  </si>
  <si>
    <t>10,48%</t>
  </si>
  <si>
    <t>0,74 (0,66-0,82)</t>
  </si>
  <si>
    <t>2,77% (1,84% a 3,61%)</t>
  </si>
  <si>
    <t>36 (28 a 54)</t>
  </si>
  <si>
    <t>12,48%</t>
  </si>
  <si>
    <t>16,96%</t>
  </si>
  <si>
    <t>4,49% (2,97% a 5,84%)</t>
  </si>
  <si>
    <t>22 (17 a 34)</t>
  </si>
  <si>
    <t>0,70 (0,57-0,85)</t>
  </si>
  <si>
    <t>0,78 (0,35-1,55)</t>
  </si>
  <si>
    <t>19,43 meses</t>
  </si>
  <si>
    <t>en 1,62 años</t>
  </si>
  <si>
    <t>0,74 (0,64-0,86)</t>
  </si>
  <si>
    <t>3,61% (2,02% a 4,98%)</t>
  </si>
  <si>
    <t>28 (20 a 49)</t>
  </si>
  <si>
    <t>13,88%</t>
  </si>
  <si>
    <t>18,72%</t>
  </si>
  <si>
    <t>4,83% (2,71% a 6,68%)</t>
  </si>
  <si>
    <t>21 (15 a 37)</t>
  </si>
  <si>
    <t>en 1,34 años</t>
  </si>
  <si>
    <t>16,07 meses</t>
  </si>
  <si>
    <t>20211014-ECA Emperor-Pres 24m, FEVI 54+50DM, [Empa vs Pl], -ICC. Anker</t>
  </si>
  <si>
    <t>+ - FEVIr,
+ - DM2</t>
  </si>
  <si>
    <t>+ - FEVIr,
- DM2</t>
  </si>
  <si>
    <t>+ - FEVIr,
+ DM2</t>
  </si>
  <si>
    <t>+ FEVIr,
+ DM2</t>
  </si>
  <si>
    <t>+ FEVIr,
- DM2</t>
  </si>
  <si>
    <t>Mortalidad por todas las causas, Subgr [+ - FEVIr, sin DM2], en 21 meses</t>
  </si>
  <si>
    <t>Mortalidad por todas las causas, Subgr [+ - FEVIr, con DM2], en 19 meses</t>
  </si>
  <si>
    <t>Mortalidad por causa cardiovascular, Subgr [+ - FEVIr, sin DM2], en 19 meses</t>
  </si>
  <si>
    <t>Mortalidad por causa cardiovascular, Subgr [+ - FEVIr, con DM2], en 18 meses</t>
  </si>
  <si>
    <t>Mortalidad por todas las causas [+ - FEVIr, + - DM2], en 21 meses</t>
  </si>
  <si>
    <t>Mortalidad por causa cardiovascular [+ - FEVIr, + - DM2], en 21 meses</t>
  </si>
  <si>
    <t>Hospitalización por Insuficiencia cardíaca [+ - FEVIr, + - DM2], en 21 meses</t>
  </si>
  <si>
    <t>Hospitalización por Insuficiencia cardíaca, Subgr [+ - FEVIr, sin DM2], en 19 meses</t>
  </si>
  <si>
    <t>Hospitalización por Insuficiencia cardíaca, Subgr [+ - FEVIr,  con DM2], en 19 meses</t>
  </si>
  <si>
    <t>Hospitalización por Insuficiencia cardíaca, Subgr [con FEVIr, sin DM2], en 16 meses</t>
  </si>
  <si>
    <t>Hospitalización por Insuficiencia cardíaca, Subgr [con FEVIr, con DM2], en 16 meses</t>
  </si>
  <si>
    <t>Rebaja por su intervalo de predicción,y por la falta de información del SOLOIST y DELIVER:</t>
  </si>
  <si>
    <t>Rebaja por su intervalo de predicción y la falta de información del DELIVER:</t>
  </si>
  <si>
    <r>
      <t>Tabla M1 11.11-&gt;nnt-1 11.11:</t>
    </r>
    <r>
      <rPr>
        <b/>
        <sz val="12"/>
        <rFont val="Calibri"/>
        <family val="2"/>
      </rPr>
      <t xml:space="preserve">  </t>
    </r>
  </si>
  <si>
    <r>
      <t>Tabla M2 11.11-&gt;nnt-2 11.11:</t>
    </r>
    <r>
      <rPr>
        <b/>
        <sz val="12"/>
        <rFont val="Calibri"/>
        <family val="2"/>
      </rPr>
      <t xml:space="preserve">  </t>
    </r>
  </si>
  <si>
    <r>
      <t>Tabla M3 11.11-&gt;nnt-3 11.11:</t>
    </r>
    <r>
      <rPr>
        <b/>
        <sz val="12"/>
        <rFont val="Calibri"/>
        <family val="2"/>
      </rPr>
      <t xml:space="preserve">  </t>
    </r>
  </si>
  <si>
    <r>
      <t>Tabla M3 11.01-&gt;nnt-3 11.01:</t>
    </r>
    <r>
      <rPr>
        <b/>
        <sz val="12"/>
        <rFont val="Calibri"/>
        <family val="2"/>
      </rPr>
      <t xml:space="preserve">  </t>
    </r>
  </si>
  <si>
    <r>
      <t>Tabla M3 11.10-&gt;nnt-3 11.10:</t>
    </r>
    <r>
      <rPr>
        <b/>
        <sz val="12"/>
        <rFont val="Calibri"/>
        <family val="2"/>
      </rPr>
      <t xml:space="preserve">  </t>
    </r>
  </si>
  <si>
    <t>Tabla M3 10.10-&gt;nnt-3 10.10:</t>
  </si>
  <si>
    <r>
      <t>Tabla M3 10.01-&gt;nnt-3 10.01:</t>
    </r>
    <r>
      <rPr>
        <b/>
        <sz val="12"/>
        <rFont val="Calibri"/>
        <family val="2"/>
      </rPr>
      <t xml:space="preserve">  </t>
    </r>
  </si>
  <si>
    <r>
      <t>Tabla M1 11.01-&gt;nnt-1 11.01:</t>
    </r>
    <r>
      <rPr>
        <b/>
        <sz val="12"/>
        <rFont val="Calibri"/>
        <family val="2"/>
      </rPr>
      <t xml:space="preserve">  </t>
    </r>
  </si>
  <si>
    <t>0,89 (0,71-1,11)</t>
  </si>
  <si>
    <t>1,31% (-1,09% a 3,71%)</t>
  </si>
  <si>
    <t>77 (27 a -91)</t>
  </si>
  <si>
    <t>0,95% (-1,42% a 3,32%)</t>
  </si>
  <si>
    <t>105 (30 a -70)</t>
  </si>
  <si>
    <t>0,91 (0,79-1,05)</t>
  </si>
  <si>
    <t>?????????</t>
  </si>
  <si>
    <t>6,56%</t>
  </si>
  <si>
    <t>7,2%</t>
  </si>
  <si>
    <t>0,64% (-0,36% a 1,51%)</t>
  </si>
  <si>
    <t>155 (66 a -280)</t>
  </si>
  <si>
    <t>11,35%</t>
  </si>
  <si>
    <t>12,46%</t>
  </si>
  <si>
    <t>1,11% (-0,62% a 2,62%)</t>
  </si>
  <si>
    <t>90 (38 a -162)</t>
  </si>
  <si>
    <t>en 1,73 años</t>
  </si>
  <si>
    <t>21 meses</t>
  </si>
  <si>
    <r>
      <t>Tabla M2 11.01-&gt;nnt-1 11.01:</t>
    </r>
    <r>
      <rPr>
        <b/>
        <sz val="12"/>
        <rFont val="Calibri"/>
        <family val="2"/>
      </rPr>
      <t xml:space="preserve">  </t>
    </r>
  </si>
  <si>
    <t>0,85 (0,67-1,09)</t>
  </si>
  <si>
    <t>1,4% (-0,8% a 3,59%)</t>
  </si>
  <si>
    <t>72 (28 a -125)</t>
  </si>
  <si>
    <t>0,93 (0,70-1,24)</t>
  </si>
  <si>
    <t>0,62% (-2,01% a 3,25%)</t>
  </si>
  <si>
    <t>161 (31 a -50)</t>
  </si>
  <si>
    <t>0,81 (0,63-1,05)</t>
  </si>
  <si>
    <t>1,5% (-0,35% a 3,34%)</t>
  </si>
  <si>
    <t>67 (30 a -284)</t>
  </si>
  <si>
    <t>0,86 (0,74-1,001)</t>
  </si>
  <si>
    <t>Rebaja por su intervalo de predicción y por la falta de información del ECA DELIVER:</t>
  </si>
  <si>
    <t>Moderada-Baja</t>
  </si>
  <si>
    <t>4,76%</t>
  </si>
  <si>
    <t>5,53%</t>
  </si>
  <si>
    <t>0,77% (0% a 1,44%)</t>
  </si>
  <si>
    <t>130 (70 a -29627)</t>
  </si>
  <si>
    <t>7,66%</t>
  </si>
  <si>
    <t>8,91%</t>
  </si>
  <si>
    <t>1,24% (-0,01% a 2,32%)</t>
  </si>
  <si>
    <t>80 (43 a -18385)</t>
  </si>
  <si>
    <t>19 meses</t>
  </si>
  <si>
    <t>0,86 (0,32-2,29)</t>
  </si>
  <si>
    <r>
      <t>Tabla M1 11.10-&gt;nnt-1 11.10:</t>
    </r>
    <r>
      <rPr>
        <b/>
        <sz val="12"/>
        <rFont val="Calibri"/>
        <family val="2"/>
      </rPr>
      <t xml:space="preserve">  </t>
    </r>
  </si>
  <si>
    <t>0,80 (0,65-0,97)</t>
  </si>
  <si>
    <t>3,43% (0,4% a 6,46%)</t>
  </si>
  <si>
    <t>29 (15 a 252)</t>
  </si>
  <si>
    <t>1,04 (0,88-1,23)</t>
  </si>
  <si>
    <t>-0,61% (-3,24% a 2,02%)</t>
  </si>
  <si>
    <t>-164 (49 a -31)</t>
  </si>
  <si>
    <r>
      <t>I</t>
    </r>
    <r>
      <rPr>
        <b/>
        <i/>
        <vertAlign val="superscript"/>
        <sz val="14"/>
        <rFont val="Calibri"/>
        <family val="2"/>
      </rPr>
      <t xml:space="preserve">2 </t>
    </r>
    <r>
      <rPr>
        <b/>
        <sz val="14"/>
        <rFont val="Calibri"/>
        <family val="2"/>
      </rPr>
      <t xml:space="preserve">= </t>
    </r>
    <r>
      <rPr>
        <b/>
        <sz val="14"/>
        <color rgb="FFFF33CC"/>
        <rFont val="Calibri"/>
        <family val="2"/>
      </rPr>
      <t>72%</t>
    </r>
  </si>
  <si>
    <t>0,90 (0,71-1,14)</t>
  </si>
  <si>
    <t>¿¿¿¿¿¿</t>
  </si>
  <si>
    <t>0,97% (-1,4% a 2,83%)</t>
  </si>
  <si>
    <t>103 (35 a -72)</t>
  </si>
  <si>
    <t>1,51% (-2,18% a 4,42%)</t>
  </si>
  <si>
    <t>66 (23 a -46)</t>
  </si>
  <si>
    <t>en 1,56 años</t>
  </si>
  <si>
    <t>0,90 (0,84-9,63)</t>
  </si>
  <si>
    <r>
      <t>Tabla M2 11.10-&gt;nnt-1 11.10:</t>
    </r>
    <r>
      <rPr>
        <b/>
        <sz val="12"/>
        <rFont val="Calibri"/>
        <family val="2"/>
      </rPr>
      <t xml:space="preserve">  </t>
    </r>
  </si>
  <si>
    <t>0,81 (0,65-1,01)</t>
  </si>
  <si>
    <t>2,65% (-0,17% a 5,47%)</t>
  </si>
  <si>
    <t>38 (18 a -601)</t>
  </si>
  <si>
    <t>0,92 (0,72-1,18)</t>
  </si>
  <si>
    <t>0,94% (-1,99% a 3,88%)</t>
  </si>
  <si>
    <t>106 (26 a -50)</t>
  </si>
  <si>
    <t>0,98 (0,77-1,25)</t>
  </si>
  <si>
    <t>0,17% (-1,83% a 2,17%)</t>
  </si>
  <si>
    <t>587 (46 a -55)</t>
  </si>
  <si>
    <t>0,89 (0,79-1,02)</t>
  </si>
  <si>
    <t>0,77% (-0,13% a 1,55%)</t>
  </si>
  <si>
    <t>131 (65 a -798)</t>
  </si>
  <si>
    <t>1,14% (-0,19% a 2,31%)</t>
  </si>
  <si>
    <t>88 (43 a -536)</t>
  </si>
  <si>
    <t>en 1,49 años</t>
  </si>
  <si>
    <t>18 meses</t>
  </si>
  <si>
    <t>0,89 (0,67-1,18)</t>
  </si>
  <si>
    <t>M-1 11.11</t>
  </si>
  <si>
    <t>M-2 11.11</t>
  </si>
  <si>
    <t>M-3 11.11</t>
  </si>
  <si>
    <t>M-1 11.01</t>
  </si>
  <si>
    <t>M-1 11.10</t>
  </si>
  <si>
    <t>M-2 11.01</t>
  </si>
  <si>
    <t>M-2 11.10</t>
  </si>
  <si>
    <t>M-3 11.01</t>
  </si>
  <si>
    <t>M-3 11.10</t>
  </si>
  <si>
    <t>M-3 10.01</t>
  </si>
  <si>
    <t>M-3 10.10</t>
  </si>
  <si>
    <t>VARIABLE NO EXPERIENCIAL</t>
  </si>
  <si>
    <t>Primer evento de [Mort CV, Hospitalización por InsCar, o visita a urgencias por InsCar]</t>
  </si>
  <si>
    <t>0,93 (0,84-1,03)</t>
  </si>
  <si>
    <r>
      <t>SIN rebaja por su intervalo de predicción, y sin rebaja a pesar de faltar información del SOLOIST (que informa DifEstSig en Nº total Ev, y no Nº pac con 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 xml:space="preserve"> Ev):</t>
    </r>
  </si>
  <si>
    <t>Rebaja hasta imponderable por la baja representatividad, pues sólo informan 2 ECA, faltando EMPEROR-Red, SOLOIST y DELIVER:</t>
  </si>
  <si>
    <t>Rebaja hasta imponderable por; a) su intervalo de predicción; b) la falta de información de EMPEROR-Red, y DELIVER; y c) además de que no debe invocarse como resultado sintético por su heterogeneidad alta (72%):</t>
  </si>
  <si>
    <t>Rebaja por su intervalo de predicción, y por la falta de información del DELIVER:</t>
  </si>
  <si>
    <t>Rebaja por sólo 2 ECAs (en los que además no es aplicable un intervalo de predicción), que constituyen la totalidad los 5 ECA con Subgrupo FEVIr sin DM2:</t>
  </si>
  <si>
    <t>Rebaja por sólo 2 ECAs (en los que además no es aplicable un intervalo de predicción), y por la falta en esta totalidad de los 5 ECA con Subgrupo FEVIr y DM2 el Subgrupo FEVIr del SOLOIST: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</si>
</sst>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  <numFmt numFmtId="166" formatCode="_-* #,##0.0000\ _€_-;\-* #,##0.000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0.000"/>
    <numFmt numFmtId="170" formatCode="0.0%"/>
    <numFmt numFmtId="171" formatCode="_-* #,##0.000\ _€_-;\-* #,##0.000\ _€_-;_-* &quot;-&quot;???\ _€_-;_-@_-"/>
    <numFmt numFmtId="172" formatCode="0.0000"/>
    <numFmt numFmtId="173" formatCode="_-* #,##0.00000000\ _€_-;\-* #,##0.00000000\ _€_-;_-* &quot;-&quot;????????\ _€_-;_-@_-"/>
    <numFmt numFmtId="174" formatCode="0.00000000000000000000000000000000000000000000000000000000000000000000000000000000000000000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#,##0_ ;\-#,##0\ "/>
    <numFmt numFmtId="178" formatCode="0.0"/>
    <numFmt numFmtId="179" formatCode="0.000%"/>
    <numFmt numFmtId="180" formatCode="0.0000%"/>
    <numFmt numFmtId="181" formatCode="_-* #,##0.0\ _€_-;\-* #,##0.0\ _€_-;_-* &quot;-&quot;??\ _€_-;_-@_-"/>
    <numFmt numFmtId="182" formatCode="_-* #,##0.0\ _€_-;\-* #,##0.0\ _€_-;_-* &quot;-&quot;?\ _€_-;_-@_-"/>
    <numFmt numFmtId="183" formatCode="_-* #,##0.0000\ _€_-;\-* #,##0.0000\ _€_-;_-* &quot;-&quot;?\ _€_-;_-@_-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name val="Calibri"/>
      <family val="1"/>
      <charset val="2"/>
      <scheme val="minor"/>
    </font>
    <font>
      <i/>
      <sz val="10"/>
      <name val="Symbol"/>
      <family val="1"/>
      <charset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Symbol"/>
      <family val="1"/>
      <charset val="2"/>
    </font>
    <font>
      <u/>
      <sz val="10"/>
      <color indexed="12"/>
      <name val="Arial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vertAlign val="superscript"/>
      <sz val="14"/>
      <name val="Calibri"/>
      <family val="2"/>
    </font>
    <font>
      <b/>
      <i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5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1"/>
      <color indexed="57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2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  <scheme val="minor"/>
    </font>
    <font>
      <b/>
      <i/>
      <sz val="10"/>
      <name val="Calibri"/>
      <family val="2"/>
    </font>
    <font>
      <i/>
      <sz val="10"/>
      <color indexed="20"/>
      <name val="Calibri"/>
      <family val="2"/>
      <scheme val="minor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99CC00"/>
      <name val="Calibri"/>
      <family val="2"/>
    </font>
    <font>
      <sz val="10"/>
      <color rgb="FF000000"/>
      <name val="Calibri"/>
      <family val="2"/>
    </font>
    <font>
      <sz val="10"/>
      <color rgb="FFFF9900"/>
      <name val="Calibri"/>
      <family val="2"/>
    </font>
    <font>
      <sz val="10"/>
      <color rgb="FFFF00FF"/>
      <name val="Calibri"/>
      <family val="2"/>
    </font>
    <font>
      <sz val="10"/>
      <color rgb="FFFF0000"/>
      <name val="Calibri"/>
      <family val="2"/>
    </font>
    <font>
      <b/>
      <i/>
      <vertAlign val="superscript"/>
      <sz val="10"/>
      <name val="Calibri"/>
      <family val="2"/>
      <scheme val="minor"/>
    </font>
    <font>
      <b/>
      <sz val="14"/>
      <color rgb="FF669900"/>
      <name val="Calibri"/>
      <family val="2"/>
    </font>
    <font>
      <b/>
      <sz val="14"/>
      <color rgb="FF008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vertAlign val="superscript"/>
      <sz val="14"/>
      <name val="Calibri"/>
      <family val="2"/>
      <scheme val="minor"/>
    </font>
    <font>
      <i/>
      <sz val="10"/>
      <color rgb="FFFFC0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99330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C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33CC"/>
      <name val="Calibri"/>
      <family val="2"/>
    </font>
    <font>
      <b/>
      <sz val="10"/>
      <color rgb="FF0000FF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67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 applyBorder="1" applyAlignment="1">
      <alignment horizontal="center"/>
    </xf>
    <xf numFmtId="166" fontId="2" fillId="0" borderId="0" xfId="1" applyNumberFormat="1" applyFont="1" applyBorder="1"/>
    <xf numFmtId="166" fontId="2" fillId="0" borderId="0" xfId="1" applyNumberFormat="1" applyFont="1" applyFill="1" applyBorder="1"/>
    <xf numFmtId="0" fontId="6" fillId="0" borderId="0" xfId="0" applyFont="1" applyAlignment="1">
      <alignment horizontal="left"/>
    </xf>
    <xf numFmtId="43" fontId="2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3" borderId="4" xfId="0" applyFont="1" applyFill="1" applyBorder="1" applyAlignment="1">
      <alignment horizontal="left"/>
    </xf>
    <xf numFmtId="3" fontId="9" fillId="7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7" borderId="4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4" fontId="2" fillId="3" borderId="4" xfId="1" applyFont="1" applyFill="1" applyBorder="1"/>
    <xf numFmtId="167" fontId="2" fillId="0" borderId="4" xfId="1" applyNumberFormat="1" applyFont="1" applyBorder="1" applyAlignment="1">
      <alignment vertical="center"/>
    </xf>
    <xf numFmtId="168" fontId="2" fillId="0" borderId="4" xfId="0" applyNumberFormat="1" applyFont="1" applyBorder="1"/>
    <xf numFmtId="2" fontId="2" fillId="0" borderId="4" xfId="1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3" borderId="4" xfId="1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43" fontId="2" fillId="0" borderId="4" xfId="1" applyNumberFormat="1" applyFont="1" applyFill="1" applyBorder="1"/>
    <xf numFmtId="164" fontId="2" fillId="0" borderId="4" xfId="1" applyFont="1" applyFill="1" applyBorder="1"/>
    <xf numFmtId="164" fontId="2" fillId="0" borderId="0" xfId="1" applyFont="1" applyFill="1" applyBorder="1"/>
    <xf numFmtId="167" fontId="2" fillId="6" borderId="4" xfId="1" applyNumberFormat="1" applyFont="1" applyFill="1" applyBorder="1"/>
    <xf numFmtId="164" fontId="2" fillId="0" borderId="4" xfId="1" applyFont="1" applyBorder="1"/>
    <xf numFmtId="164" fontId="2" fillId="0" borderId="4" xfId="1" applyFont="1" applyBorder="1" applyAlignment="1">
      <alignment horizontal="center"/>
    </xf>
    <xf numFmtId="169" fontId="2" fillId="6" borderId="4" xfId="0" applyNumberFormat="1" applyFont="1" applyFill="1" applyBorder="1" applyAlignment="1">
      <alignment horizontal="center"/>
    </xf>
    <xf numFmtId="168" fontId="2" fillId="0" borderId="4" xfId="1" applyNumberFormat="1" applyFont="1" applyBorder="1"/>
    <xf numFmtId="170" fontId="4" fillId="0" borderId="4" xfId="2" applyNumberFormat="1" applyFont="1" applyBorder="1" applyAlignment="1">
      <alignment horizontal="center" vertical="center"/>
    </xf>
    <xf numFmtId="2" fontId="2" fillId="0" borderId="4" xfId="0" applyNumberFormat="1" applyFont="1" applyBorder="1"/>
    <xf numFmtId="171" fontId="2" fillId="0" borderId="4" xfId="0" applyNumberFormat="1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/>
    <xf numFmtId="0" fontId="7" fillId="3" borderId="4" xfId="0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4" fontId="7" fillId="3" borderId="4" xfId="1" applyFont="1" applyFill="1" applyBorder="1"/>
    <xf numFmtId="167" fontId="15" fillId="0" borderId="4" xfId="0" applyNumberFormat="1" applyFont="1" applyBorder="1"/>
    <xf numFmtId="168" fontId="7" fillId="0" borderId="4" xfId="0" applyNumberFormat="1" applyFont="1" applyBorder="1"/>
    <xf numFmtId="170" fontId="7" fillId="0" borderId="4" xfId="0" applyNumberFormat="1" applyFont="1" applyBorder="1"/>
    <xf numFmtId="2" fontId="7" fillId="0" borderId="4" xfId="1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164" fontId="7" fillId="0" borderId="0" xfId="1" applyFont="1" applyFill="1" applyBorder="1"/>
    <xf numFmtId="0" fontId="7" fillId="0" borderId="4" xfId="0" applyFont="1" applyBorder="1"/>
    <xf numFmtId="43" fontId="7" fillId="0" borderId="4" xfId="0" applyNumberFormat="1" applyFont="1" applyBorder="1"/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/>
    <xf numFmtId="164" fontId="7" fillId="0" borderId="4" xfId="1" applyFont="1" applyFill="1" applyBorder="1" applyAlignment="1">
      <alignment horizontal="center"/>
    </xf>
    <xf numFmtId="169" fontId="7" fillId="6" borderId="4" xfId="1" applyNumberFormat="1" applyFont="1" applyFill="1" applyBorder="1" applyAlignment="1">
      <alignment horizontal="center"/>
    </xf>
    <xf numFmtId="170" fontId="16" fillId="0" borderId="4" xfId="2" applyNumberFormat="1" applyFont="1" applyBorder="1" applyAlignment="1">
      <alignment horizontal="center" vertical="center"/>
    </xf>
    <xf numFmtId="171" fontId="7" fillId="0" borderId="4" xfId="0" applyNumberFormat="1" applyFont="1" applyBorder="1"/>
    <xf numFmtId="164" fontId="7" fillId="0" borderId="4" xfId="1" applyFont="1" applyFill="1" applyBorder="1"/>
    <xf numFmtId="172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43" fontId="7" fillId="3" borderId="4" xfId="0" applyNumberFormat="1" applyFont="1" applyFill="1" applyBorder="1" applyAlignment="1">
      <alignment horizontal="center"/>
    </xf>
    <xf numFmtId="170" fontId="7" fillId="6" borderId="4" xfId="2" applyNumberFormat="1" applyFont="1" applyFill="1" applyBorder="1"/>
    <xf numFmtId="9" fontId="7" fillId="6" borderId="4" xfId="2" applyFont="1" applyFill="1" applyBorder="1" applyAlignment="1">
      <alignment horizontal="center"/>
    </xf>
    <xf numFmtId="2" fontId="7" fillId="0" borderId="4" xfId="1" applyNumberFormat="1" applyFont="1" applyFill="1" applyBorder="1"/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Font="1" applyBorder="1"/>
    <xf numFmtId="2" fontId="7" fillId="0" borderId="4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168" fontId="17" fillId="0" borderId="0" xfId="0" applyNumberFormat="1" applyFont="1"/>
    <xf numFmtId="164" fontId="17" fillId="0" borderId="0" xfId="1" applyFont="1" applyFill="1" applyBorder="1" applyAlignment="1">
      <alignment horizontal="center"/>
    </xf>
    <xf numFmtId="174" fontId="2" fillId="0" borderId="0" xfId="0" applyNumberFormat="1" applyFont="1"/>
    <xf numFmtId="0" fontId="7" fillId="0" borderId="4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/>
    <xf numFmtId="0" fontId="19" fillId="8" borderId="8" xfId="0" applyFont="1" applyFill="1" applyBorder="1" applyAlignment="1">
      <alignment horizontal="right" vertical="center"/>
    </xf>
    <xf numFmtId="2" fontId="2" fillId="8" borderId="9" xfId="0" applyNumberFormat="1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169" fontId="4" fillId="9" borderId="1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75" fontId="2" fillId="0" borderId="0" xfId="0" applyNumberFormat="1" applyFont="1"/>
    <xf numFmtId="176" fontId="2" fillId="0" borderId="0" xfId="1" applyNumberFormat="1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Fill="1"/>
    <xf numFmtId="43" fontId="2" fillId="0" borderId="4" xfId="0" applyNumberFormat="1" applyFont="1" applyBorder="1"/>
    <xf numFmtId="0" fontId="2" fillId="0" borderId="0" xfId="0" applyFont="1" applyAlignment="1">
      <alignment horizontal="center"/>
    </xf>
    <xf numFmtId="166" fontId="7" fillId="3" borderId="4" xfId="1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20" fillId="0" borderId="0" xfId="0" applyFont="1"/>
    <xf numFmtId="164" fontId="2" fillId="0" borderId="0" xfId="1" applyFont="1" applyAlignment="1">
      <alignment horizontal="center"/>
    </xf>
    <xf numFmtId="0" fontId="18" fillId="0" borderId="0" xfId="0" applyFont="1"/>
    <xf numFmtId="0" fontId="7" fillId="0" borderId="0" xfId="0" applyFont="1" applyAlignment="1">
      <alignment horizontal="right" vertical="center"/>
    </xf>
    <xf numFmtId="43" fontId="2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4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/>
    </xf>
    <xf numFmtId="0" fontId="22" fillId="0" borderId="6" xfId="3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distributed"/>
    </xf>
    <xf numFmtId="3" fontId="7" fillId="0" borderId="4" xfId="1" applyNumberFormat="1" applyFont="1" applyFill="1" applyBorder="1" applyAlignment="1">
      <alignment horizontal="center" vertical="distributed"/>
    </xf>
    <xf numFmtId="3" fontId="2" fillId="0" borderId="4" xfId="1" applyNumberFormat="1" applyFont="1" applyFill="1" applyBorder="1" applyAlignment="1">
      <alignment horizontal="center" vertical="distributed"/>
    </xf>
    <xf numFmtId="3" fontId="7" fillId="0" borderId="4" xfId="1" applyNumberFormat="1" applyFont="1" applyFill="1" applyBorder="1" applyAlignment="1">
      <alignment horizontal="center" vertical="center"/>
    </xf>
    <xf numFmtId="10" fontId="7" fillId="0" borderId="4" xfId="2" applyNumberFormat="1" applyFont="1" applyFill="1" applyBorder="1" applyAlignment="1">
      <alignment horizontal="center" vertical="center"/>
    </xf>
    <xf numFmtId="178" fontId="7" fillId="9" borderId="4" xfId="0" applyNumberFormat="1" applyFont="1" applyFill="1" applyBorder="1" applyAlignment="1">
      <alignment horizontal="center" vertical="center"/>
    </xf>
    <xf numFmtId="10" fontId="2" fillId="0" borderId="0" xfId="2" applyNumberFormat="1" applyFont="1" applyFill="1"/>
    <xf numFmtId="0" fontId="2" fillId="0" borderId="7" xfId="0" applyFont="1" applyBorder="1" applyAlignment="1">
      <alignment horizontal="right" vertical="distributed"/>
    </xf>
    <xf numFmtId="10" fontId="2" fillId="7" borderId="10" xfId="2" applyNumberFormat="1" applyFont="1" applyFill="1" applyBorder="1" applyAlignment="1">
      <alignment horizontal="center" vertical="distributed"/>
    </xf>
    <xf numFmtId="10" fontId="7" fillId="0" borderId="0" xfId="2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179" fontId="2" fillId="0" borderId="0" xfId="2" applyNumberFormat="1" applyFont="1" applyAlignment="1">
      <alignment horizontal="left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7" borderId="9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/>
    <xf numFmtId="167" fontId="2" fillId="0" borderId="9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0" fontId="2" fillId="0" borderId="10" xfId="2" applyNumberFormat="1" applyFont="1" applyBorder="1" applyAlignment="1">
      <alignment horizontal="center"/>
    </xf>
    <xf numFmtId="0" fontId="2" fillId="11" borderId="7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right" vertical="center"/>
    </xf>
    <xf numFmtId="10" fontId="7" fillId="4" borderId="9" xfId="0" applyNumberFormat="1" applyFont="1" applyFill="1" applyBorder="1" applyAlignment="1">
      <alignment horizontal="center" vertical="center"/>
    </xf>
    <xf numFmtId="10" fontId="7" fillId="5" borderId="9" xfId="0" applyNumberFormat="1" applyFont="1" applyFill="1" applyBorder="1" applyAlignment="1">
      <alignment horizontal="center" vertical="center"/>
    </xf>
    <xf numFmtId="10" fontId="7" fillId="12" borderId="9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right" vertic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12" borderId="9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center"/>
    </xf>
    <xf numFmtId="2" fontId="2" fillId="11" borderId="14" xfId="0" applyNumberFormat="1" applyFont="1" applyFill="1" applyBorder="1" applyAlignment="1">
      <alignment horizontal="center"/>
    </xf>
    <xf numFmtId="10" fontId="2" fillId="11" borderId="14" xfId="2" applyNumberFormat="1" applyFont="1" applyFill="1" applyBorder="1" applyAlignment="1">
      <alignment horizontal="center"/>
    </xf>
    <xf numFmtId="1" fontId="2" fillId="11" borderId="15" xfId="0" applyNumberFormat="1" applyFont="1" applyFill="1" applyBorder="1" applyAlignment="1">
      <alignment horizontal="center"/>
    </xf>
    <xf numFmtId="0" fontId="2" fillId="11" borderId="16" xfId="0" applyFont="1" applyFill="1" applyBorder="1" applyAlignment="1">
      <alignment horizontal="left"/>
    </xf>
    <xf numFmtId="167" fontId="2" fillId="11" borderId="0" xfId="0" applyNumberFormat="1" applyFont="1" applyFill="1" applyAlignment="1">
      <alignment horizontal="center"/>
    </xf>
    <xf numFmtId="10" fontId="2" fillId="11" borderId="0" xfId="0" applyNumberFormat="1" applyFon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10" fontId="2" fillId="11" borderId="0" xfId="2" applyNumberFormat="1" applyFont="1" applyFill="1" applyBorder="1" applyAlignment="1">
      <alignment horizontal="center"/>
    </xf>
    <xf numFmtId="1" fontId="2" fillId="11" borderId="17" xfId="0" applyNumberFormat="1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 vertical="distributed"/>
    </xf>
    <xf numFmtId="0" fontId="2" fillId="11" borderId="18" xfId="0" applyFont="1" applyFill="1" applyBorder="1" applyAlignment="1">
      <alignment horizontal="left"/>
    </xf>
    <xf numFmtId="164" fontId="7" fillId="0" borderId="0" xfId="1" applyFont="1" applyAlignment="1">
      <alignment horizontal="right"/>
    </xf>
    <xf numFmtId="180" fontId="7" fillId="0" borderId="0" xfId="2" applyNumberFormat="1" applyFont="1"/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10" fontId="22" fillId="0" borderId="0" xfId="2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43" fontId="24" fillId="0" borderId="8" xfId="0" applyNumberFormat="1" applyFont="1" applyBorder="1" applyAlignment="1">
      <alignment horizontal="left" vertical="center"/>
    </xf>
    <xf numFmtId="0" fontId="24" fillId="3" borderId="8" xfId="0" applyFont="1" applyFill="1" applyBorder="1" applyAlignment="1">
      <alignment vertical="distributed"/>
    </xf>
    <xf numFmtId="0" fontId="24" fillId="3" borderId="10" xfId="0" applyFont="1" applyFill="1" applyBorder="1" applyAlignment="1">
      <alignment vertical="distributed"/>
    </xf>
    <xf numFmtId="0" fontId="6" fillId="7" borderId="22" xfId="0" applyFont="1" applyFill="1" applyBorder="1" applyAlignment="1">
      <alignment horizontal="center" vertical="distributed" wrapText="1"/>
    </xf>
    <xf numFmtId="0" fontId="6" fillId="7" borderId="23" xfId="0" applyFont="1" applyFill="1" applyBorder="1" applyAlignment="1">
      <alignment horizontal="center" vertical="distributed"/>
    </xf>
    <xf numFmtId="0" fontId="6" fillId="7" borderId="23" xfId="0" applyFont="1" applyFill="1" applyBorder="1" applyAlignment="1">
      <alignment horizontal="center" vertical="distributed" wrapText="1"/>
    </xf>
    <xf numFmtId="0" fontId="6" fillId="7" borderId="2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center" vertical="distributed" wrapText="1"/>
    </xf>
    <xf numFmtId="0" fontId="18" fillId="3" borderId="0" xfId="0" applyFont="1" applyFill="1" applyAlignment="1">
      <alignment horizontal="center"/>
    </xf>
    <xf numFmtId="178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distributed" wrapText="1"/>
    </xf>
    <xf numFmtId="10" fontId="18" fillId="3" borderId="4" xfId="2" applyNumberFormat="1" applyFont="1" applyFill="1" applyBorder="1" applyAlignment="1">
      <alignment horizontal="center" vertical="distributed" wrapText="1"/>
    </xf>
    <xf numFmtId="170" fontId="18" fillId="3" borderId="4" xfId="2" applyNumberFormat="1" applyFont="1" applyFill="1" applyBorder="1" applyAlignment="1">
      <alignment horizontal="center" vertical="distributed" wrapText="1"/>
    </xf>
    <xf numFmtId="0" fontId="18" fillId="3" borderId="4" xfId="0" applyFont="1" applyFill="1" applyBorder="1" applyAlignment="1">
      <alignment horizontal="center" vertical="center"/>
    </xf>
    <xf numFmtId="170" fontId="19" fillId="3" borderId="4" xfId="0" applyNumberFormat="1" applyFont="1" applyFill="1" applyBorder="1" applyAlignment="1">
      <alignment horizontal="center" vertical="center" wrapText="1"/>
    </xf>
    <xf numFmtId="2" fontId="18" fillId="3" borderId="6" xfId="0" applyNumberFormat="1" applyFont="1" applyFill="1" applyBorder="1" applyAlignment="1">
      <alignment horizontal="center" vertical="distributed"/>
    </xf>
    <xf numFmtId="2" fontId="2" fillId="3" borderId="6" xfId="0" applyNumberFormat="1" applyFont="1" applyFill="1" applyBorder="1" applyAlignment="1">
      <alignment horizontal="center" vertical="distributed"/>
    </xf>
    <xf numFmtId="11" fontId="2" fillId="3" borderId="6" xfId="0" applyNumberFormat="1" applyFont="1" applyFill="1" applyBorder="1" applyAlignment="1">
      <alignment horizontal="center" vertical="distributed"/>
    </xf>
    <xf numFmtId="178" fontId="2" fillId="0" borderId="0" xfId="0" applyNumberFormat="1" applyFont="1" applyAlignment="1">
      <alignment horizontal="center" vertical="center"/>
    </xf>
    <xf numFmtId="1" fontId="26" fillId="3" borderId="29" xfId="1" applyNumberFormat="1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right" vertical="distributed"/>
    </xf>
    <xf numFmtId="0" fontId="27" fillId="3" borderId="4" xfId="0" applyFont="1" applyFill="1" applyBorder="1" applyAlignment="1">
      <alignment horizontal="center" vertical="distributed"/>
    </xf>
    <xf numFmtId="0" fontId="18" fillId="3" borderId="3" xfId="0" applyFont="1" applyFill="1" applyBorder="1" applyAlignment="1">
      <alignment horizontal="left" vertical="distributed" wrapText="1"/>
    </xf>
    <xf numFmtId="0" fontId="28" fillId="7" borderId="4" xfId="0" applyFont="1" applyFill="1" applyBorder="1" applyAlignment="1">
      <alignment horizontal="center" vertical="distributed" wrapText="1"/>
    </xf>
    <xf numFmtId="178" fontId="24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distributed" wrapText="1"/>
    </xf>
    <xf numFmtId="10" fontId="24" fillId="3" borderId="4" xfId="2" applyNumberFormat="1" applyFont="1" applyFill="1" applyBorder="1" applyAlignment="1">
      <alignment horizontal="center" vertical="distributed" wrapText="1"/>
    </xf>
    <xf numFmtId="170" fontId="30" fillId="3" borderId="1" xfId="0" applyNumberFormat="1" applyFont="1" applyFill="1" applyBorder="1" applyAlignment="1">
      <alignment horizontal="center" vertical="distributed"/>
    </xf>
    <xf numFmtId="10" fontId="2" fillId="3" borderId="0" xfId="2" applyNumberFormat="1" applyFont="1" applyFill="1"/>
    <xf numFmtId="164" fontId="7" fillId="3" borderId="0" xfId="1" applyFont="1" applyFill="1" applyBorder="1" applyAlignment="1">
      <alignment horizontal="center" vertical="distributed"/>
    </xf>
    <xf numFmtId="178" fontId="2" fillId="9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distributed"/>
    </xf>
    <xf numFmtId="0" fontId="2" fillId="3" borderId="0" xfId="0" applyFont="1" applyFill="1" applyAlignment="1">
      <alignment horizontal="center" vertical="distributed" wrapText="1"/>
    </xf>
    <xf numFmtId="0" fontId="16" fillId="3" borderId="0" xfId="0" applyFont="1" applyFill="1" applyAlignment="1">
      <alignment horizontal="center" vertical="distributed" wrapText="1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distributed" wrapText="1"/>
    </xf>
    <xf numFmtId="10" fontId="7" fillId="3" borderId="0" xfId="2" applyNumberFormat="1" applyFont="1" applyFill="1" applyBorder="1" applyAlignment="1">
      <alignment horizontal="center" vertical="distributed" wrapText="1"/>
    </xf>
    <xf numFmtId="10" fontId="2" fillId="3" borderId="0" xfId="2" applyNumberFormat="1" applyFont="1" applyFill="1" applyBorder="1" applyAlignment="1">
      <alignment horizontal="center" vertical="distributed" wrapText="1"/>
    </xf>
    <xf numFmtId="170" fontId="4" fillId="3" borderId="0" xfId="0" applyNumberFormat="1" applyFont="1" applyFill="1" applyAlignment="1">
      <alignment horizontal="center" vertical="distributed"/>
    </xf>
    <xf numFmtId="0" fontId="2" fillId="3" borderId="0" xfId="0" applyFont="1" applyFill="1"/>
    <xf numFmtId="0" fontId="2" fillId="3" borderId="0" xfId="0" applyFont="1" applyFill="1" applyAlignment="1">
      <alignment horizontal="center" vertical="distributed"/>
    </xf>
    <xf numFmtId="0" fontId="27" fillId="3" borderId="3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distributed" wrapText="1"/>
    </xf>
    <xf numFmtId="0" fontId="27" fillId="3" borderId="25" xfId="0" applyFont="1" applyFill="1" applyBorder="1" applyAlignment="1">
      <alignment horizontal="center" vertical="distributed"/>
    </xf>
    <xf numFmtId="0" fontId="27" fillId="3" borderId="32" xfId="0" applyFont="1" applyFill="1" applyBorder="1" applyAlignment="1">
      <alignment horizontal="center" vertical="distributed" wrapText="1"/>
    </xf>
    <xf numFmtId="0" fontId="2" fillId="3" borderId="33" xfId="0" applyFont="1" applyFill="1" applyBorder="1" applyAlignment="1">
      <alignment horizontal="right" vertical="center"/>
    </xf>
    <xf numFmtId="10" fontId="32" fillId="3" borderId="3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178" fontId="32" fillId="3" borderId="31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vertical="center"/>
    </xf>
    <xf numFmtId="10" fontId="33" fillId="3" borderId="35" xfId="0" applyNumberFormat="1" applyFont="1" applyFill="1" applyBorder="1" applyAlignment="1">
      <alignment horizontal="center" vertical="center"/>
    </xf>
    <xf numFmtId="10" fontId="33" fillId="3" borderId="36" xfId="0" applyNumberFormat="1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distributed"/>
    </xf>
    <xf numFmtId="0" fontId="3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right" vertical="center"/>
    </xf>
    <xf numFmtId="10" fontId="32" fillId="3" borderId="39" xfId="0" applyNumberFormat="1" applyFont="1" applyFill="1" applyBorder="1" applyAlignment="1">
      <alignment horizontal="center" vertical="center"/>
    </xf>
    <xf numFmtId="170" fontId="2" fillId="3" borderId="39" xfId="2" applyNumberFormat="1" applyFont="1" applyFill="1" applyBorder="1" applyAlignment="1">
      <alignment horizontal="left" vertical="center"/>
    </xf>
    <xf numFmtId="2" fontId="2" fillId="3" borderId="39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178" fontId="32" fillId="3" borderId="39" xfId="0" applyNumberFormat="1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vertical="center"/>
    </xf>
    <xf numFmtId="10" fontId="33" fillId="3" borderId="40" xfId="0" applyNumberFormat="1" applyFont="1" applyFill="1" applyBorder="1" applyAlignment="1">
      <alignment horizontal="center" vertical="center"/>
    </xf>
    <xf numFmtId="10" fontId="33" fillId="3" borderId="41" xfId="0" applyNumberFormat="1" applyFont="1" applyFill="1" applyBorder="1" applyAlignment="1">
      <alignment horizontal="center" vertical="center"/>
    </xf>
    <xf numFmtId="164" fontId="14" fillId="3" borderId="41" xfId="1" applyFont="1" applyFill="1" applyBorder="1" applyAlignment="1">
      <alignment horizontal="center" vertical="distributed"/>
    </xf>
    <xf numFmtId="164" fontId="32" fillId="7" borderId="42" xfId="1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10" fontId="32" fillId="3" borderId="0" xfId="0" applyNumberFormat="1" applyFont="1" applyFill="1" applyAlignment="1">
      <alignment horizontal="center" vertical="center"/>
    </xf>
    <xf numFmtId="170" fontId="2" fillId="3" borderId="0" xfId="2" applyNumberFormat="1" applyFont="1" applyFill="1" applyBorder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8" fontId="32" fillId="3" borderId="0" xfId="0" applyNumberFormat="1" applyFont="1" applyFill="1" applyAlignment="1">
      <alignment horizontal="center" vertical="center"/>
    </xf>
    <xf numFmtId="10" fontId="33" fillId="3" borderId="0" xfId="0" applyNumberFormat="1" applyFont="1" applyFill="1" applyAlignment="1">
      <alignment horizontal="center" vertical="center"/>
    </xf>
    <xf numFmtId="164" fontId="24" fillId="3" borderId="0" xfId="1" applyFont="1" applyFill="1" applyBorder="1" applyAlignment="1">
      <alignment horizontal="center" vertical="distributed"/>
    </xf>
    <xf numFmtId="164" fontId="14" fillId="3" borderId="0" xfId="1" applyFont="1" applyFill="1" applyBorder="1" applyAlignment="1">
      <alignment horizontal="center" vertical="distributed"/>
    </xf>
    <xf numFmtId="164" fontId="32" fillId="3" borderId="0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7" borderId="7" xfId="0" applyFont="1" applyFill="1" applyBorder="1" applyAlignment="1">
      <alignment vertical="center"/>
    </xf>
    <xf numFmtId="10" fontId="33" fillId="7" borderId="8" xfId="2" applyNumberFormat="1" applyFont="1" applyFill="1" applyBorder="1" applyAlignment="1">
      <alignment horizontal="center" vertical="center"/>
    </xf>
    <xf numFmtId="10" fontId="24" fillId="7" borderId="8" xfId="2" applyNumberFormat="1" applyFont="1" applyFill="1" applyBorder="1" applyAlignment="1">
      <alignment horizontal="right" vertical="center"/>
    </xf>
    <xf numFmtId="164" fontId="14" fillId="3" borderId="0" xfId="1" applyFont="1" applyFill="1"/>
    <xf numFmtId="164" fontId="2" fillId="3" borderId="0" xfId="1" applyFont="1" applyFill="1"/>
    <xf numFmtId="0" fontId="24" fillId="3" borderId="0" xfId="0" applyFont="1" applyFill="1"/>
    <xf numFmtId="178" fontId="2" fillId="7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178" fontId="32" fillId="0" borderId="0" xfId="0" applyNumberFormat="1" applyFont="1" applyAlignment="1">
      <alignment horizontal="center" vertical="center"/>
    </xf>
    <xf numFmtId="164" fontId="35" fillId="0" borderId="0" xfId="1" applyFont="1" applyFill="1" applyBorder="1" applyAlignment="1">
      <alignment horizontal="center" vertical="distributed" wrapText="1"/>
    </xf>
    <xf numFmtId="164" fontId="6" fillId="0" borderId="0" xfId="1" applyFont="1" applyFill="1" applyBorder="1" applyAlignment="1">
      <alignment horizontal="right" vertical="distributed"/>
    </xf>
    <xf numFmtId="43" fontId="6" fillId="0" borderId="0" xfId="0" applyNumberFormat="1" applyFont="1" applyAlignment="1">
      <alignment horizontal="right" vertical="distributed"/>
    </xf>
    <xf numFmtId="10" fontId="18" fillId="0" borderId="0" xfId="2" applyNumberFormat="1" applyFont="1" applyBorder="1" applyAlignment="1">
      <alignment horizontal="center"/>
    </xf>
    <xf numFmtId="10" fontId="36" fillId="0" borderId="0" xfId="2" applyNumberFormat="1" applyFont="1" applyBorder="1" applyAlignment="1">
      <alignment horizontal="center"/>
    </xf>
    <xf numFmtId="10" fontId="37" fillId="0" borderId="0" xfId="0" applyNumberFormat="1" applyFont="1"/>
    <xf numFmtId="0" fontId="38" fillId="0" borderId="0" xfId="0" applyFont="1" applyAlignment="1">
      <alignment horizontal="right"/>
    </xf>
    <xf numFmtId="10" fontId="3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8" fontId="18" fillId="0" borderId="0" xfId="1" applyNumberFormat="1" applyFont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  <xf numFmtId="168" fontId="18" fillId="0" borderId="0" xfId="0" applyNumberFormat="1" applyFont="1"/>
    <xf numFmtId="164" fontId="2" fillId="0" borderId="0" xfId="1" applyFont="1" applyFill="1" applyBorder="1" applyAlignment="1">
      <alignment horizontal="center" vertical="center"/>
    </xf>
    <xf numFmtId="43" fontId="18" fillId="0" borderId="0" xfId="0" applyNumberFormat="1" applyFont="1"/>
    <xf numFmtId="164" fontId="18" fillId="0" borderId="0" xfId="1" applyFont="1" applyFill="1" applyBorder="1"/>
    <xf numFmtId="164" fontId="18" fillId="0" borderId="0" xfId="1" applyFont="1" applyFill="1"/>
    <xf numFmtId="0" fontId="41" fillId="0" borderId="0" xfId="0" applyFont="1"/>
    <xf numFmtId="167" fontId="2" fillId="0" borderId="0" xfId="0" applyNumberFormat="1" applyFont="1" applyAlignment="1">
      <alignment horizontal="center"/>
    </xf>
    <xf numFmtId="181" fontId="7" fillId="0" borderId="4" xfId="1" applyNumberFormat="1" applyFont="1" applyBorder="1" applyAlignment="1">
      <alignment horizontal="center"/>
    </xf>
    <xf numFmtId="164" fontId="2" fillId="0" borderId="0" xfId="1" applyFont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2" fillId="0" borderId="0" xfId="1" applyFont="1" applyFill="1" applyAlignment="1">
      <alignment vertical="center"/>
    </xf>
    <xf numFmtId="0" fontId="42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43" fillId="0" borderId="4" xfId="0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164" fontId="2" fillId="0" borderId="0" xfId="1" applyFont="1" applyFill="1"/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/>
    <xf numFmtId="10" fontId="2" fillId="0" borderId="0" xfId="0" applyNumberFormat="1" applyFont="1" applyAlignment="1">
      <alignment horizontal="center"/>
    </xf>
    <xf numFmtId="164" fontId="7" fillId="0" borderId="5" xfId="1" applyFont="1" applyFill="1" applyBorder="1" applyAlignment="1">
      <alignment horizontal="center" vertical="center" wrapText="1"/>
    </xf>
    <xf numFmtId="164" fontId="7" fillId="0" borderId="5" xfId="1" applyFont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12" borderId="4" xfId="0" applyNumberFormat="1" applyFont="1" applyFill="1" applyBorder="1" applyAlignment="1">
      <alignment horizontal="center"/>
    </xf>
    <xf numFmtId="43" fontId="7" fillId="0" borderId="0" xfId="0" applyNumberFormat="1" applyFont="1"/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45" fillId="0" borderId="0" xfId="1" applyFont="1" applyFill="1" applyBorder="1"/>
    <xf numFmtId="167" fontId="45" fillId="0" borderId="0" xfId="0" applyNumberFormat="1" applyFont="1" applyAlignment="1">
      <alignment horizontal="right"/>
    </xf>
    <xf numFmtId="43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right"/>
    </xf>
    <xf numFmtId="0" fontId="45" fillId="0" borderId="0" xfId="0" applyFont="1"/>
    <xf numFmtId="166" fontId="45" fillId="0" borderId="0" xfId="0" applyNumberFormat="1" applyFont="1"/>
    <xf numFmtId="181" fontId="45" fillId="0" borderId="0" xfId="0" applyNumberFormat="1" applyFont="1" applyAlignment="1">
      <alignment horizontal="right"/>
    </xf>
    <xf numFmtId="175" fontId="45" fillId="0" borderId="0" xfId="1" applyNumberFormat="1" applyFont="1" applyFill="1" applyBorder="1"/>
    <xf numFmtId="181" fontId="45" fillId="0" borderId="0" xfId="0" applyNumberFormat="1" applyFont="1" applyAlignment="1">
      <alignment horizontal="left"/>
    </xf>
    <xf numFmtId="181" fontId="2" fillId="0" borderId="0" xfId="0" applyNumberFormat="1" applyFont="1"/>
    <xf numFmtId="182" fontId="2" fillId="0" borderId="0" xfId="0" applyNumberFormat="1" applyFont="1"/>
    <xf numFmtId="0" fontId="46" fillId="0" borderId="0" xfId="0" applyFont="1"/>
    <xf numFmtId="168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0" xfId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center"/>
    </xf>
    <xf numFmtId="164" fontId="7" fillId="0" borderId="0" xfId="1" applyFont="1" applyFill="1" applyBorder="1" applyAlignment="1"/>
    <xf numFmtId="0" fontId="47" fillId="0" borderId="0" xfId="0" applyFont="1"/>
    <xf numFmtId="0" fontId="47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81" fontId="39" fillId="0" borderId="0" xfId="0" applyNumberFormat="1" applyFont="1"/>
    <xf numFmtId="181" fontId="39" fillId="0" borderId="0" xfId="0" applyNumberFormat="1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8" fillId="0" borderId="0" xfId="0" applyFont="1"/>
    <xf numFmtId="164" fontId="47" fillId="0" borderId="0" xfId="1" applyFont="1" applyFill="1" applyBorder="1" applyAlignment="1"/>
    <xf numFmtId="0" fontId="51" fillId="0" borderId="0" xfId="0" applyFont="1"/>
    <xf numFmtId="0" fontId="47" fillId="0" borderId="4" xfId="0" applyFont="1" applyBorder="1" applyAlignment="1">
      <alignment horizontal="center" vertical="distributed"/>
    </xf>
    <xf numFmtId="0" fontId="47" fillId="0" borderId="5" xfId="0" applyFont="1" applyBorder="1" applyAlignment="1">
      <alignment horizontal="center" vertical="distributed"/>
    </xf>
    <xf numFmtId="0" fontId="47" fillId="0" borderId="13" xfId="0" applyFont="1" applyBorder="1" applyAlignment="1">
      <alignment horizontal="center" vertical="distributed"/>
    </xf>
    <xf numFmtId="164" fontId="7" fillId="0" borderId="30" xfId="1" applyFont="1" applyFill="1" applyBorder="1" applyAlignment="1"/>
    <xf numFmtId="164" fontId="2" fillId="0" borderId="31" xfId="1" applyFont="1" applyFill="1" applyBorder="1" applyAlignment="1"/>
    <xf numFmtId="164" fontId="2" fillId="0" borderId="32" xfId="1" applyFont="1" applyFill="1" applyBorder="1" applyAlignment="1"/>
    <xf numFmtId="0" fontId="7" fillId="0" borderId="30" xfId="0" applyFont="1" applyBorder="1"/>
    <xf numFmtId="164" fontId="7" fillId="0" borderId="31" xfId="1" applyFont="1" applyFill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168" fontId="39" fillId="0" borderId="4" xfId="0" applyNumberFormat="1" applyFont="1" applyBorder="1" applyAlignment="1">
      <alignment horizontal="center"/>
    </xf>
    <xf numFmtId="10" fontId="39" fillId="4" borderId="4" xfId="2" applyNumberFormat="1" applyFont="1" applyFill="1" applyBorder="1" applyAlignment="1">
      <alignment horizontal="center"/>
    </xf>
    <xf numFmtId="164" fontId="39" fillId="0" borderId="4" xfId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64" fontId="39" fillId="0" borderId="1" xfId="1" applyFont="1" applyFill="1" applyBorder="1" applyAlignment="1">
      <alignment horizontal="center"/>
    </xf>
    <xf numFmtId="10" fontId="47" fillId="4" borderId="4" xfId="2" applyNumberFormat="1" applyFont="1" applyFill="1" applyBorder="1" applyAlignment="1">
      <alignment horizontal="center"/>
    </xf>
    <xf numFmtId="10" fontId="47" fillId="5" borderId="4" xfId="2" applyNumberFormat="1" applyFont="1" applyFill="1" applyBorder="1" applyAlignment="1">
      <alignment horizontal="center"/>
    </xf>
    <xf numFmtId="10" fontId="47" fillId="12" borderId="1" xfId="2" applyNumberFormat="1" applyFont="1" applyFill="1" applyBorder="1" applyAlignment="1">
      <alignment horizontal="center"/>
    </xf>
    <xf numFmtId="168" fontId="2" fillId="0" borderId="44" xfId="0" applyNumberFormat="1" applyFont="1" applyBorder="1"/>
    <xf numFmtId="164" fontId="7" fillId="0" borderId="45" xfId="1" applyFont="1" applyFill="1" applyBorder="1" applyAlignment="1"/>
    <xf numFmtId="166" fontId="2" fillId="0" borderId="44" xfId="1" applyNumberFormat="1" applyFont="1" applyFill="1" applyBorder="1"/>
    <xf numFmtId="0" fontId="2" fillId="0" borderId="45" xfId="0" applyFont="1" applyBorder="1"/>
    <xf numFmtId="170" fontId="2" fillId="0" borderId="44" xfId="2" applyNumberFormat="1" applyFont="1" applyFill="1" applyBorder="1"/>
    <xf numFmtId="183" fontId="2" fillId="0" borderId="44" xfId="0" applyNumberFormat="1" applyFont="1" applyBorder="1"/>
    <xf numFmtId="168" fontId="53" fillId="0" borderId="4" xfId="0" applyNumberFormat="1" applyFont="1" applyBorder="1" applyAlignment="1">
      <alignment horizontal="center"/>
    </xf>
    <xf numFmtId="180" fontId="53" fillId="0" borderId="4" xfId="2" applyNumberFormat="1" applyFont="1" applyFill="1" applyBorder="1" applyAlignment="1">
      <alignment horizontal="center"/>
    </xf>
    <xf numFmtId="164" fontId="39" fillId="0" borderId="0" xfId="1" applyFont="1" applyBorder="1" applyAlignment="1">
      <alignment horizontal="center"/>
    </xf>
    <xf numFmtId="43" fontId="39" fillId="0" borderId="0" xfId="0" applyNumberFormat="1" applyFont="1" applyAlignment="1">
      <alignment horizontal="center"/>
    </xf>
    <xf numFmtId="164" fontId="39" fillId="0" borderId="0" xfId="1" applyFont="1" applyFill="1" applyBorder="1" applyAlignment="1">
      <alignment horizontal="center"/>
    </xf>
    <xf numFmtId="10" fontId="47" fillId="0" borderId="0" xfId="2" applyNumberFormat="1" applyFont="1" applyFill="1" applyBorder="1" applyAlignment="1"/>
    <xf numFmtId="170" fontId="7" fillId="0" borderId="44" xfId="2" applyNumberFormat="1" applyFont="1" applyFill="1" applyBorder="1"/>
    <xf numFmtId="167" fontId="7" fillId="0" borderId="44" xfId="1" applyNumberFormat="1" applyFont="1" applyFill="1" applyBorder="1"/>
    <xf numFmtId="43" fontId="2" fillId="0" borderId="46" xfId="0" applyNumberFormat="1" applyFont="1" applyBorder="1"/>
    <xf numFmtId="166" fontId="2" fillId="4" borderId="44" xfId="1" applyNumberFormat="1" applyFont="1" applyFill="1" applyBorder="1"/>
    <xf numFmtId="170" fontId="2" fillId="0" borderId="0" xfId="2" applyNumberFormat="1" applyFont="1"/>
    <xf numFmtId="10" fontId="7" fillId="4" borderId="46" xfId="2" applyNumberFormat="1" applyFont="1" applyFill="1" applyBorder="1"/>
    <xf numFmtId="176" fontId="2" fillId="0" borderId="0" xfId="0" applyNumberFormat="1" applyFont="1"/>
    <xf numFmtId="10" fontId="55" fillId="0" borderId="44" xfId="0" applyNumberFormat="1" applyFont="1" applyBorder="1"/>
    <xf numFmtId="0" fontId="56" fillId="0" borderId="0" xfId="0" applyFont="1"/>
    <xf numFmtId="0" fontId="47" fillId="0" borderId="0" xfId="0" applyFont="1" applyAlignment="1">
      <alignment horizontal="center"/>
    </xf>
    <xf numFmtId="49" fontId="7" fillId="0" borderId="0" xfId="0" applyNumberFormat="1" applyFont="1"/>
    <xf numFmtId="0" fontId="7" fillId="0" borderId="7" xfId="0" applyFont="1" applyBorder="1"/>
    <xf numFmtId="179" fontId="7" fillId="4" borderId="7" xfId="2" applyNumberFormat="1" applyFont="1" applyFill="1" applyBorder="1" applyAlignment="1">
      <alignment horizontal="center"/>
    </xf>
    <xf numFmtId="180" fontId="7" fillId="12" borderId="7" xfId="2" applyNumberFormat="1" applyFont="1" applyFill="1" applyBorder="1" applyAlignment="1">
      <alignment horizontal="center"/>
    </xf>
    <xf numFmtId="180" fontId="7" fillId="5" borderId="7" xfId="2" applyNumberFormat="1" applyFont="1" applyFill="1" applyBorder="1" applyAlignment="1">
      <alignment horizontal="center"/>
    </xf>
    <xf numFmtId="10" fontId="55" fillId="0" borderId="47" xfId="0" applyNumberFormat="1" applyFont="1" applyBorder="1"/>
    <xf numFmtId="0" fontId="56" fillId="0" borderId="48" xfId="0" applyFont="1" applyBorder="1"/>
    <xf numFmtId="0" fontId="2" fillId="0" borderId="48" xfId="0" applyFont="1" applyBorder="1"/>
    <xf numFmtId="171" fontId="2" fillId="0" borderId="48" xfId="0" applyNumberFormat="1" applyFont="1" applyBorder="1"/>
    <xf numFmtId="0" fontId="2" fillId="0" borderId="12" xfId="0" applyFont="1" applyBorder="1"/>
    <xf numFmtId="0" fontId="2" fillId="0" borderId="11" xfId="0" applyFont="1" applyBorder="1"/>
    <xf numFmtId="10" fontId="2" fillId="0" borderId="0" xfId="2" applyNumberFormat="1" applyFont="1"/>
    <xf numFmtId="0" fontId="7" fillId="0" borderId="9" xfId="0" applyFont="1" applyBorder="1"/>
    <xf numFmtId="1" fontId="7" fillId="4" borderId="7" xfId="0" applyNumberFormat="1" applyFont="1" applyFill="1" applyBorder="1" applyAlignment="1">
      <alignment horizontal="center"/>
    </xf>
    <xf numFmtId="1" fontId="7" fillId="12" borderId="7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168" fontId="2" fillId="0" borderId="0" xfId="1" applyNumberFormat="1" applyFont="1"/>
    <xf numFmtId="1" fontId="2" fillId="0" borderId="0" xfId="0" applyNumberFormat="1" applyFont="1"/>
    <xf numFmtId="0" fontId="2" fillId="0" borderId="1" xfId="0" applyFont="1" applyBorder="1"/>
    <xf numFmtId="49" fontId="7" fillId="0" borderId="4" xfId="1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167" fontId="2" fillId="0" borderId="0" xfId="1" applyNumberFormat="1" applyFont="1" applyFill="1" applyBorder="1"/>
    <xf numFmtId="1" fontId="7" fillId="14" borderId="4" xfId="0" applyNumberFormat="1" applyFont="1" applyFill="1" applyBorder="1" applyAlignment="1">
      <alignment horizontal="center" vertical="distributed"/>
    </xf>
    <xf numFmtId="1" fontId="7" fillId="15" borderId="4" xfId="0" applyNumberFormat="1" applyFont="1" applyFill="1" applyBorder="1" applyAlignment="1">
      <alignment horizontal="center" vertical="distributed"/>
    </xf>
    <xf numFmtId="167" fontId="2" fillId="0" borderId="0" xfId="0" applyNumberFormat="1" applyFont="1"/>
    <xf numFmtId="1" fontId="7" fillId="16" borderId="4" xfId="0" applyNumberFormat="1" applyFont="1" applyFill="1" applyBorder="1" applyAlignment="1">
      <alignment horizontal="center" vertical="distributed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8" fontId="7" fillId="0" borderId="0" xfId="0" applyNumberFormat="1" applyFont="1"/>
    <xf numFmtId="168" fontId="4" fillId="0" borderId="0" xfId="0" applyNumberFormat="1" applyFont="1"/>
    <xf numFmtId="168" fontId="7" fillId="0" borderId="0" xfId="0" applyNumberFormat="1" applyFont="1" applyAlignment="1">
      <alignment horizontal="center"/>
    </xf>
    <xf numFmtId="1" fontId="7" fillId="5" borderId="4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Alignment="1">
      <alignment horizontal="center"/>
    </xf>
    <xf numFmtId="0" fontId="47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9" fillId="0" borderId="4" xfId="0" applyFont="1" applyBorder="1" applyAlignment="1">
      <alignment horizontal="right"/>
    </xf>
    <xf numFmtId="168" fontId="39" fillId="0" borderId="4" xfId="1" applyNumberFormat="1" applyFont="1" applyFill="1" applyBorder="1"/>
    <xf numFmtId="0" fontId="39" fillId="0" borderId="4" xfId="0" applyFont="1" applyBorder="1"/>
    <xf numFmtId="0" fontId="57" fillId="0" borderId="4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39" fillId="0" borderId="1" xfId="0" applyFont="1" applyBorder="1"/>
    <xf numFmtId="0" fontId="2" fillId="0" borderId="2" xfId="0" applyFont="1" applyBorder="1"/>
    <xf numFmtId="0" fontId="39" fillId="0" borderId="3" xfId="0" applyFont="1" applyBorder="1" applyAlignment="1">
      <alignment horizontal="right"/>
    </xf>
    <xf numFmtId="168" fontId="47" fillId="0" borderId="4" xfId="0" applyNumberFormat="1" applyFont="1" applyBorder="1" applyAlignment="1">
      <alignment horizontal="center"/>
    </xf>
    <xf numFmtId="168" fontId="47" fillId="0" borderId="4" xfId="1" applyNumberFormat="1" applyFont="1" applyFill="1" applyBorder="1"/>
    <xf numFmtId="168" fontId="39" fillId="0" borderId="0" xfId="1" applyNumberFormat="1" applyFont="1" applyFill="1" applyBorder="1"/>
    <xf numFmtId="168" fontId="47" fillId="0" borderId="0" xfId="1" applyNumberFormat="1" applyFont="1" applyFill="1" applyBorder="1"/>
    <xf numFmtId="0" fontId="58" fillId="0" borderId="44" xfId="0" applyFont="1" applyBorder="1"/>
    <xf numFmtId="168" fontId="39" fillId="0" borderId="0" xfId="1" applyNumberFormat="1" applyFont="1"/>
    <xf numFmtId="164" fontId="58" fillId="0" borderId="4" xfId="1" applyFont="1" applyBorder="1"/>
    <xf numFmtId="164" fontId="47" fillId="0" borderId="0" xfId="1" applyFont="1"/>
    <xf numFmtId="43" fontId="39" fillId="17" borderId="0" xfId="0" applyNumberFormat="1" applyFont="1" applyFill="1"/>
    <xf numFmtId="164" fontId="2" fillId="0" borderId="0" xfId="1" applyFont="1" applyBorder="1"/>
    <xf numFmtId="0" fontId="7" fillId="0" borderId="48" xfId="0" applyFont="1" applyBorder="1" applyAlignment="1">
      <alignment horizontal="right"/>
    </xf>
    <xf numFmtId="43" fontId="7" fillId="0" borderId="9" xfId="0" applyNumberFormat="1" applyFont="1" applyBorder="1"/>
    <xf numFmtId="43" fontId="39" fillId="0" borderId="0" xfId="0" applyNumberFormat="1" applyFont="1"/>
    <xf numFmtId="0" fontId="2" fillId="0" borderId="11" xfId="0" applyFont="1" applyBorder="1" applyAlignment="1">
      <alignment horizontal="right"/>
    </xf>
    <xf numFmtId="167" fontId="7" fillId="17" borderId="26" xfId="1" applyNumberFormat="1" applyFont="1" applyFill="1" applyBorder="1"/>
    <xf numFmtId="176" fontId="39" fillId="0" borderId="0" xfId="0" applyNumberFormat="1" applyFont="1"/>
    <xf numFmtId="9" fontId="2" fillId="0" borderId="0" xfId="2" applyFont="1" applyFill="1" applyBorder="1"/>
    <xf numFmtId="49" fontId="2" fillId="11" borderId="1" xfId="0" applyNumberFormat="1" applyFont="1" applyFill="1" applyBorder="1"/>
    <xf numFmtId="49" fontId="2" fillId="11" borderId="4" xfId="0" applyNumberFormat="1" applyFont="1" applyFill="1" applyBorder="1"/>
    <xf numFmtId="49" fontId="2" fillId="11" borderId="4" xfId="0" applyNumberFormat="1" applyFont="1" applyFill="1" applyBorder="1" applyAlignment="1">
      <alignment horizontal="left"/>
    </xf>
    <xf numFmtId="49" fontId="2" fillId="11" borderId="14" xfId="0" applyNumberFormat="1" applyFont="1" applyFill="1" applyBorder="1" applyAlignment="1">
      <alignment horizontal="left"/>
    </xf>
    <xf numFmtId="49" fontId="2" fillId="11" borderId="15" xfId="0" applyNumberFormat="1" applyFont="1" applyFill="1" applyBorder="1" applyAlignment="1">
      <alignment horizontal="left"/>
    </xf>
    <xf numFmtId="49" fontId="2" fillId="11" borderId="16" xfId="0" applyNumberFormat="1" applyFont="1" applyFill="1" applyBorder="1"/>
    <xf numFmtId="168" fontId="2" fillId="11" borderId="0" xfId="0" applyNumberFormat="1" applyFont="1" applyFill="1"/>
    <xf numFmtId="2" fontId="2" fillId="11" borderId="0" xfId="0" applyNumberFormat="1" applyFont="1" applyFill="1"/>
    <xf numFmtId="10" fontId="2" fillId="11" borderId="0" xfId="0" applyNumberFormat="1" applyFont="1" applyFill="1"/>
    <xf numFmtId="1" fontId="2" fillId="11" borderId="0" xfId="0" applyNumberFormat="1" applyFont="1" applyFill="1" applyAlignment="1">
      <alignment horizontal="center"/>
    </xf>
    <xf numFmtId="49" fontId="2" fillId="11" borderId="17" xfId="0" applyNumberFormat="1" applyFont="1" applyFill="1" applyBorder="1" applyAlignment="1">
      <alignment horizontal="left"/>
    </xf>
    <xf numFmtId="10" fontId="2" fillId="11" borderId="17" xfId="0" applyNumberFormat="1" applyFont="1" applyFill="1" applyBorder="1" applyAlignment="1">
      <alignment horizontal="center"/>
    </xf>
    <xf numFmtId="0" fontId="59" fillId="0" borderId="0" xfId="0" applyFont="1"/>
    <xf numFmtId="49" fontId="2" fillId="11" borderId="4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0" fontId="2" fillId="11" borderId="16" xfId="0" applyFont="1" applyFill="1" applyBorder="1"/>
    <xf numFmtId="49" fontId="2" fillId="11" borderId="18" xfId="0" applyNumberFormat="1" applyFont="1" applyFill="1" applyBorder="1"/>
    <xf numFmtId="0" fontId="2" fillId="11" borderId="49" xfId="0" applyFont="1" applyFill="1" applyBorder="1"/>
    <xf numFmtId="0" fontId="2" fillId="11" borderId="28" xfId="0" applyFont="1" applyFill="1" applyBorder="1"/>
    <xf numFmtId="49" fontId="7" fillId="11" borderId="4" xfId="0" applyNumberFormat="1" applyFont="1" applyFill="1" applyBorder="1" applyAlignment="1">
      <alignment horizontal="center" vertical="distributed"/>
    </xf>
    <xf numFmtId="0" fontId="7" fillId="11" borderId="4" xfId="0" applyFont="1" applyFill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169" fontId="2" fillId="0" borderId="4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distributed"/>
    </xf>
    <xf numFmtId="0" fontId="18" fillId="0" borderId="0" xfId="0" applyFont="1" applyAlignment="1">
      <alignment horizontal="center" vertical="center"/>
    </xf>
    <xf numFmtId="0" fontId="60" fillId="3" borderId="0" xfId="0" applyFont="1" applyFill="1" applyAlignment="1">
      <alignment vertical="center"/>
    </xf>
    <xf numFmtId="0" fontId="9" fillId="3" borderId="0" xfId="0" applyFont="1" applyFill="1"/>
    <xf numFmtId="10" fontId="9" fillId="3" borderId="0" xfId="2" applyNumberFormat="1" applyFont="1" applyFill="1"/>
    <xf numFmtId="164" fontId="40" fillId="18" borderId="0" xfId="1" applyFont="1" applyFill="1" applyBorder="1" applyAlignment="1" applyProtection="1">
      <alignment horizontal="center" vertical="distributed" wrapText="1"/>
    </xf>
    <xf numFmtId="0" fontId="40" fillId="18" borderId="9" xfId="0" applyFont="1" applyFill="1" applyBorder="1" applyAlignment="1">
      <alignment horizontal="center" vertical="center"/>
    </xf>
    <xf numFmtId="10" fontId="30" fillId="3" borderId="9" xfId="0" applyNumberFormat="1" applyFont="1" applyFill="1" applyBorder="1" applyAlignment="1">
      <alignment horizontal="center" vertical="distributed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2" fontId="7" fillId="9" borderId="4" xfId="1" applyNumberFormat="1" applyFont="1" applyFill="1" applyBorder="1" applyAlignment="1">
      <alignment horizontal="center"/>
    </xf>
    <xf numFmtId="164" fontId="2" fillId="9" borderId="1" xfId="1" applyFont="1" applyFill="1" applyBorder="1" applyAlignment="1">
      <alignment horizontal="center"/>
    </xf>
    <xf numFmtId="2" fontId="7" fillId="9" borderId="4" xfId="0" applyNumberFormat="1" applyFont="1" applyFill="1" applyBorder="1" applyAlignment="1">
      <alignment horizontal="center" vertical="center"/>
    </xf>
    <xf numFmtId="43" fontId="7" fillId="9" borderId="4" xfId="1" applyNumberFormat="1" applyFont="1" applyFill="1" applyBorder="1"/>
    <xf numFmtId="164" fontId="7" fillId="9" borderId="4" xfId="1" applyFont="1" applyFill="1" applyBorder="1"/>
    <xf numFmtId="166" fontId="7" fillId="9" borderId="4" xfId="1" applyNumberFormat="1" applyFont="1" applyFill="1" applyBorder="1"/>
    <xf numFmtId="172" fontId="7" fillId="9" borderId="4" xfId="0" applyNumberFormat="1" applyFont="1" applyFill="1" applyBorder="1" applyAlignment="1">
      <alignment horizontal="center" vertical="center" wrapText="1"/>
    </xf>
    <xf numFmtId="9" fontId="7" fillId="9" borderId="4" xfId="0" applyNumberFormat="1" applyFont="1" applyFill="1" applyBorder="1" applyAlignment="1">
      <alignment horizontal="center"/>
    </xf>
    <xf numFmtId="9" fontId="7" fillId="9" borderId="4" xfId="2" applyFont="1" applyFill="1" applyBorder="1" applyAlignment="1">
      <alignment horizontal="center"/>
    </xf>
    <xf numFmtId="0" fontId="2" fillId="9" borderId="7" xfId="0" applyFont="1" applyFill="1" applyBorder="1" applyAlignment="1">
      <alignment wrapText="1"/>
    </xf>
    <xf numFmtId="2" fontId="2" fillId="9" borderId="4" xfId="0" applyNumberFormat="1" applyFont="1" applyFill="1" applyBorder="1" applyAlignment="1">
      <alignment horizontal="center" vertical="center" wrapText="1"/>
    </xf>
    <xf numFmtId="9" fontId="2" fillId="7" borderId="4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3" fontId="2" fillId="13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13" borderId="4" xfId="1" applyNumberFormat="1" applyFont="1" applyFill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distributed"/>
    </xf>
    <xf numFmtId="2" fontId="7" fillId="9" borderId="4" xfId="0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/>
    </xf>
    <xf numFmtId="1" fontId="26" fillId="3" borderId="27" xfId="1" applyNumberFormat="1" applyFont="1" applyFill="1" applyBorder="1" applyAlignment="1">
      <alignment horizontal="center" vertical="center" wrapText="1"/>
    </xf>
    <xf numFmtId="4" fontId="23" fillId="10" borderId="4" xfId="3" applyNumberFormat="1" applyFont="1" applyFill="1" applyBorder="1" applyAlignment="1" applyProtection="1">
      <alignment horizontal="center" vertical="center"/>
    </xf>
    <xf numFmtId="4" fontId="22" fillId="11" borderId="4" xfId="3" applyNumberFormat="1" applyFont="1" applyFill="1" applyBorder="1" applyAlignment="1" applyProtection="1">
      <alignment horizontal="center" vertical="center"/>
    </xf>
    <xf numFmtId="164" fontId="67" fillId="7" borderId="9" xfId="1" applyFont="1" applyFill="1" applyBorder="1" applyAlignment="1">
      <alignment horizontal="center" vertical="distributed"/>
    </xf>
    <xf numFmtId="164" fontId="67" fillId="7" borderId="36" xfId="1" applyFont="1" applyFill="1" applyBorder="1" applyAlignment="1">
      <alignment horizontal="center" vertical="distributed"/>
    </xf>
    <xf numFmtId="167" fontId="67" fillId="7" borderId="41" xfId="1" applyNumberFormat="1" applyFont="1" applyFill="1" applyBorder="1" applyAlignment="1">
      <alignment horizontal="center" vertical="distributed"/>
    </xf>
    <xf numFmtId="1" fontId="68" fillId="0" borderId="4" xfId="0" applyNumberFormat="1" applyFont="1" applyBorder="1" applyAlignment="1">
      <alignment horizontal="center" vertical="center"/>
    </xf>
    <xf numFmtId="1" fontId="69" fillId="0" borderId="4" xfId="0" applyNumberFormat="1" applyFont="1" applyBorder="1" applyAlignment="1">
      <alignment horizontal="center" vertical="center"/>
    </xf>
    <xf numFmtId="1" fontId="70" fillId="0" borderId="4" xfId="0" applyNumberFormat="1" applyFont="1" applyBorder="1" applyAlignment="1">
      <alignment horizontal="center" vertical="center"/>
    </xf>
    <xf numFmtId="164" fontId="71" fillId="3" borderId="10" xfId="1" applyFont="1" applyFill="1" applyBorder="1" applyAlignment="1">
      <alignment horizontal="center" vertical="center"/>
    </xf>
    <xf numFmtId="164" fontId="67" fillId="3" borderId="10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3" fontId="2" fillId="7" borderId="4" xfId="1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7" fillId="9" borderId="4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169" fontId="7" fillId="9" borderId="4" xfId="0" applyNumberFormat="1" applyFont="1" applyFill="1" applyBorder="1" applyAlignment="1">
      <alignment horizontal="center" vertical="center" wrapText="1"/>
    </xf>
    <xf numFmtId="169" fontId="7" fillId="9" borderId="4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170" fontId="2" fillId="0" borderId="0" xfId="2" applyNumberFormat="1" applyFont="1" applyAlignment="1">
      <alignment horizontal="center"/>
    </xf>
    <xf numFmtId="0" fontId="7" fillId="0" borderId="1" xfId="0" applyFont="1" applyBorder="1" applyAlignment="1">
      <alignment horizontal="center" vertical="distributed"/>
    </xf>
    <xf numFmtId="49" fontId="4" fillId="0" borderId="0" xfId="0" applyNumberFormat="1" applyFont="1" applyAlignment="1">
      <alignment horizontal="center"/>
    </xf>
    <xf numFmtId="49" fontId="7" fillId="19" borderId="0" xfId="0" applyNumberFormat="1" applyFont="1" applyFill="1" applyAlignment="1">
      <alignment vertical="center"/>
    </xf>
    <xf numFmtId="49" fontId="75" fillId="0" borderId="0" xfId="0" applyNumberFormat="1" applyFont="1" applyFill="1" applyAlignment="1">
      <alignment horizontal="center"/>
    </xf>
    <xf numFmtId="49" fontId="76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/>
    <xf numFmtId="49" fontId="77" fillId="0" borderId="0" xfId="0" applyNumberFormat="1" applyFont="1" applyAlignment="1">
      <alignment vertical="center" wrapText="1"/>
    </xf>
    <xf numFmtId="49" fontId="7" fillId="20" borderId="0" xfId="0" applyNumberFormat="1" applyFont="1" applyFill="1" applyAlignment="1">
      <alignment vertical="center"/>
    </xf>
    <xf numFmtId="2" fontId="2" fillId="9" borderId="4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78" fillId="18" borderId="7" xfId="0" applyFont="1" applyFill="1" applyBorder="1" applyAlignment="1">
      <alignment horizontal="left" vertical="center" wrapText="1"/>
    </xf>
    <xf numFmtId="0" fontId="80" fillId="7" borderId="6" xfId="0" applyFont="1" applyFill="1" applyBorder="1" applyAlignment="1">
      <alignment horizontal="center" vertical="center" wrapText="1"/>
    </xf>
    <xf numFmtId="3" fontId="80" fillId="3" borderId="4" xfId="0" applyNumberFormat="1" applyFont="1" applyFill="1" applyBorder="1" applyAlignment="1">
      <alignment horizontal="center" vertical="center" wrapText="1"/>
    </xf>
    <xf numFmtId="0" fontId="80" fillId="3" borderId="4" xfId="0" applyFont="1" applyFill="1" applyBorder="1" applyAlignment="1">
      <alignment horizontal="left"/>
    </xf>
    <xf numFmtId="3" fontId="81" fillId="7" borderId="4" xfId="0" applyNumberFormat="1" applyFont="1" applyFill="1" applyBorder="1" applyAlignment="1">
      <alignment horizontal="center"/>
    </xf>
    <xf numFmtId="3" fontId="80" fillId="3" borderId="4" xfId="0" applyNumberFormat="1" applyFont="1" applyFill="1" applyBorder="1" applyAlignment="1">
      <alignment horizontal="center"/>
    </xf>
    <xf numFmtId="3" fontId="80" fillId="7" borderId="4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7" fillId="20" borderId="0" xfId="0" applyNumberFormat="1" applyFont="1" applyFill="1"/>
    <xf numFmtId="49" fontId="77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0" fontId="2" fillId="9" borderId="7" xfId="0" applyFont="1" applyFill="1" applyBorder="1" applyAlignment="1">
      <alignment vertical="center" wrapText="1"/>
    </xf>
    <xf numFmtId="175" fontId="2" fillId="0" borderId="0" xfId="0" applyNumberFormat="1" applyFont="1" applyAlignment="1">
      <alignment vertical="center"/>
    </xf>
    <xf numFmtId="164" fontId="2" fillId="0" borderId="0" xfId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19" fillId="8" borderId="8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wrapText="1"/>
    </xf>
    <xf numFmtId="175" fontId="2" fillId="0" borderId="0" xfId="0" applyNumberFormat="1" applyFont="1" applyAlignment="1">
      <alignment horizontal="center"/>
    </xf>
    <xf numFmtId="176" fontId="2" fillId="0" borderId="0" xfId="1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175" fontId="2" fillId="0" borderId="0" xfId="0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distributed"/>
    </xf>
    <xf numFmtId="164" fontId="71" fillId="3" borderId="9" xfId="1" applyFont="1" applyFill="1" applyBorder="1" applyAlignment="1">
      <alignment horizontal="center" vertical="center"/>
    </xf>
    <xf numFmtId="164" fontId="71" fillId="3" borderId="36" xfId="1" applyFont="1" applyFill="1" applyBorder="1" applyAlignment="1">
      <alignment horizontal="center" vertical="distributed"/>
    </xf>
    <xf numFmtId="167" fontId="71" fillId="3" borderId="41" xfId="1" applyNumberFormat="1" applyFont="1" applyFill="1" applyBorder="1" applyAlignment="1">
      <alignment horizontal="center" vertical="distributed"/>
    </xf>
    <xf numFmtId="1" fontId="82" fillId="0" borderId="4" xfId="0" applyNumberFormat="1" applyFont="1" applyBorder="1" applyAlignment="1">
      <alignment horizontal="center" vertical="center"/>
    </xf>
    <xf numFmtId="1" fontId="83" fillId="0" borderId="4" xfId="0" applyNumberFormat="1" applyFont="1" applyBorder="1" applyAlignment="1">
      <alignment horizontal="center" vertical="center"/>
    </xf>
    <xf numFmtId="169" fontId="2" fillId="7" borderId="10" xfId="0" applyNumberFormat="1" applyFont="1" applyFill="1" applyBorder="1" applyAlignment="1">
      <alignment horizontal="center" vertical="center"/>
    </xf>
    <xf numFmtId="164" fontId="71" fillId="3" borderId="9" xfId="1" applyFont="1" applyFill="1" applyBorder="1" applyAlignment="1">
      <alignment horizontal="center" vertical="distributed"/>
    </xf>
    <xf numFmtId="10" fontId="9" fillId="18" borderId="0" xfId="2" applyNumberFormat="1" applyFont="1" applyFill="1" applyBorder="1" applyAlignment="1" applyProtection="1">
      <alignment horizontal="right" vertical="center"/>
    </xf>
    <xf numFmtId="0" fontId="2" fillId="21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85" fillId="0" borderId="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6" fillId="0" borderId="0" xfId="0" applyFont="1"/>
    <xf numFmtId="177" fontId="86" fillId="0" borderId="0" xfId="1" applyNumberFormat="1" applyFont="1" applyFill="1" applyBorder="1" applyAlignment="1">
      <alignment horizontal="right" vertical="center"/>
    </xf>
    <xf numFmtId="177" fontId="87" fillId="0" borderId="0" xfId="1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left" vertical="center"/>
    </xf>
    <xf numFmtId="0" fontId="31" fillId="3" borderId="31" xfId="0" applyFont="1" applyFill="1" applyBorder="1" applyAlignment="1">
      <alignment horizontal="left" vertical="center"/>
    </xf>
    <xf numFmtId="0" fontId="31" fillId="3" borderId="32" xfId="0" applyFont="1" applyFill="1" applyBorder="1" applyAlignment="1">
      <alignment horizontal="left" vertical="center"/>
    </xf>
    <xf numFmtId="0" fontId="32" fillId="3" borderId="30" xfId="0" applyFont="1" applyFill="1" applyBorder="1" applyAlignment="1">
      <alignment horizontal="left" vertical="center" wrapText="1"/>
    </xf>
    <xf numFmtId="0" fontId="32" fillId="3" borderId="11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distributed" wrapText="1"/>
    </xf>
    <xf numFmtId="0" fontId="6" fillId="3" borderId="26" xfId="0" applyFont="1" applyFill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10" fontId="9" fillId="18" borderId="0" xfId="2" applyNumberFormat="1" applyFont="1" applyFill="1" applyBorder="1" applyAlignment="1" applyProtection="1">
      <alignment horizontal="right" vertical="center" wrapText="1"/>
    </xf>
    <xf numFmtId="10" fontId="9" fillId="18" borderId="45" xfId="2" applyNumberFormat="1" applyFont="1" applyFill="1" applyBorder="1" applyAlignment="1" applyProtection="1">
      <alignment horizontal="right" vertical="center" wrapText="1"/>
    </xf>
    <xf numFmtId="10" fontId="9" fillId="0" borderId="0" xfId="2" applyNumberFormat="1" applyFont="1" applyFill="1" applyBorder="1" applyAlignment="1" applyProtection="1">
      <alignment horizontal="right" vertical="center" wrapText="1"/>
    </xf>
    <xf numFmtId="10" fontId="9" fillId="0" borderId="45" xfId="2" applyNumberFormat="1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164" fontId="7" fillId="16" borderId="1" xfId="1" applyFont="1" applyFill="1" applyBorder="1" applyAlignment="1">
      <alignment horizontal="left"/>
    </xf>
    <xf numFmtId="164" fontId="7" fillId="16" borderId="2" xfId="1" applyFont="1" applyFill="1" applyBorder="1" applyAlignment="1">
      <alignment horizontal="left"/>
    </xf>
    <xf numFmtId="164" fontId="7" fillId="16" borderId="3" xfId="1" applyFont="1" applyFill="1" applyBorder="1" applyAlignment="1">
      <alignment horizontal="left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textRotation="90"/>
    </xf>
    <xf numFmtId="0" fontId="39" fillId="0" borderId="43" xfId="0" applyFont="1" applyBorder="1" applyAlignment="1">
      <alignment horizontal="center" vertical="center" textRotation="90"/>
    </xf>
    <xf numFmtId="0" fontId="39" fillId="0" borderId="26" xfId="0" applyFont="1" applyBorder="1" applyAlignment="1">
      <alignment horizontal="center" vertical="center" textRotation="90"/>
    </xf>
    <xf numFmtId="0" fontId="7" fillId="14" borderId="4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horizontal="left"/>
    </xf>
    <xf numFmtId="0" fontId="7" fillId="15" borderId="2" xfId="0" applyFont="1" applyFill="1" applyBorder="1" applyAlignment="1">
      <alignment horizontal="left"/>
    </xf>
    <xf numFmtId="0" fontId="7" fillId="15" borderId="3" xfId="0" applyFont="1" applyFill="1" applyBorder="1" applyAlignment="1">
      <alignment horizontal="left"/>
    </xf>
    <xf numFmtId="2" fontId="32" fillId="3" borderId="39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9933"/>
      <color rgb="FF008000"/>
      <color rgb="FFFF33CC"/>
      <color rgb="FFFF3399"/>
      <color rgb="FFFF0066"/>
      <color rgb="FF009900"/>
      <color rgb="FFFFFF99"/>
      <color rgb="FFFFFFC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489857</xdr:colOff>
      <xdr:row>88</xdr:row>
      <xdr:rowOff>0</xdr:rowOff>
    </xdr:from>
    <xdr:to>
      <xdr:col>6</xdr:col>
      <xdr:colOff>417459</xdr:colOff>
      <xdr:row>97</xdr:row>
      <xdr:rowOff>45357</xdr:rowOff>
    </xdr:to>
    <xdr:sp macro="" textlink="">
      <xdr:nvSpPr>
        <xdr:cNvPr id="3" name="Forma libre: forma 2">
          <a:extLst>
            <a:ext uri="{FF2B5EF4-FFF2-40B4-BE49-F238E27FC236}">
              <a16:creationId xmlns:a16="http://schemas.microsoft.com/office/drawing/2014/main" id="{B391FCE0-4E96-4141-B960-BBF0B7225EC8}"/>
            </a:ext>
          </a:extLst>
        </xdr:cNvPr>
        <xdr:cNvSpPr/>
      </xdr:nvSpPr>
      <xdr:spPr>
        <a:xfrm>
          <a:off x="4726214" y="20927786"/>
          <a:ext cx="517245" cy="2467428"/>
        </a:xfrm>
        <a:custGeom>
          <a:avLst/>
          <a:gdLst>
            <a:gd name="connsiteX0" fmla="*/ 45357 w 517245"/>
            <a:gd name="connsiteY0" fmla="*/ 0 h 2394857"/>
            <a:gd name="connsiteX1" fmla="*/ 517071 w 517245"/>
            <a:gd name="connsiteY1" fmla="*/ 1043214 h 2394857"/>
            <a:gd name="connsiteX2" fmla="*/ 0 w 517245"/>
            <a:gd name="connsiteY2" fmla="*/ 2394857 h 2394857"/>
            <a:gd name="connsiteX3" fmla="*/ 0 w 517245"/>
            <a:gd name="connsiteY3" fmla="*/ 2394857 h 2394857"/>
            <a:gd name="connsiteX4" fmla="*/ 0 w 517245"/>
            <a:gd name="connsiteY4" fmla="*/ 2394857 h 2394857"/>
            <a:gd name="connsiteX5" fmla="*/ 0 w 517245"/>
            <a:gd name="connsiteY5" fmla="*/ 2394857 h 2394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17245" h="2394857">
              <a:moveTo>
                <a:pt x="45357" y="0"/>
              </a:moveTo>
              <a:cubicBezTo>
                <a:pt x="284993" y="322035"/>
                <a:pt x="524630" y="644071"/>
                <a:pt x="517071" y="1043214"/>
              </a:cubicBezTo>
              <a:cubicBezTo>
                <a:pt x="509512" y="1442357"/>
                <a:pt x="0" y="2394857"/>
                <a:pt x="0" y="2394857"/>
              </a:cubicBezTo>
              <a:lnTo>
                <a:pt x="0" y="2394857"/>
              </a:lnTo>
              <a:lnTo>
                <a:pt x="0" y="2394857"/>
              </a:lnTo>
              <a:lnTo>
                <a:pt x="0" y="2394857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26</xdr:row>
      <xdr:rowOff>146050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E1BF17C-2A65-4769-A150-07E6C1070390}"/>
            </a:ext>
          </a:extLst>
        </xdr:cNvPr>
        <xdr:cNvCxnSpPr>
          <a:cxnSpLocks noChangeShapeType="1"/>
        </xdr:cNvCxnSpPr>
      </xdr:nvCxnSpPr>
      <xdr:spPr bwMode="auto">
        <a:xfrm>
          <a:off x="6032500" y="3524250"/>
          <a:ext cx="6902450" cy="480695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1485D7F-FA0C-468C-80F4-0E5DAC33F6EF}"/>
            </a:ext>
          </a:extLst>
        </xdr:cNvPr>
        <xdr:cNvCxnSpPr>
          <a:cxnSpLocks noChangeShapeType="1"/>
        </xdr:cNvCxnSpPr>
      </xdr:nvCxnSpPr>
      <xdr:spPr bwMode="auto">
        <a:xfrm>
          <a:off x="18942050" y="54927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3492F72A-DF62-4BA0-BAB8-684A22705A77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83502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970643</xdr:colOff>
      <xdr:row>25</xdr:row>
      <xdr:rowOff>217715</xdr:rowOff>
    </xdr:from>
    <xdr:to>
      <xdr:col>11</xdr:col>
      <xdr:colOff>152400</xdr:colOff>
      <xdr:row>33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2CA98B75-E69E-4519-8903-02C26E39DD7B}"/>
            </a:ext>
          </a:extLst>
        </xdr:cNvPr>
        <xdr:cNvCxnSpPr>
          <a:cxnSpLocks noChangeShapeType="1"/>
        </xdr:cNvCxnSpPr>
      </xdr:nvCxnSpPr>
      <xdr:spPr bwMode="auto">
        <a:xfrm>
          <a:off x="6323693" y="3430815"/>
          <a:ext cx="6712857" cy="3604985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85D7589-3692-4DA2-A481-82EEB81E53B0}"/>
            </a:ext>
          </a:extLst>
        </xdr:cNvPr>
        <xdr:cNvCxnSpPr>
          <a:cxnSpLocks noChangeShapeType="1"/>
        </xdr:cNvCxnSpPr>
      </xdr:nvCxnSpPr>
      <xdr:spPr bwMode="auto">
        <a:xfrm>
          <a:off x="19043650" y="53276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139700</xdr:rowOff>
    </xdr:from>
    <xdr:to>
      <xdr:col>16</xdr:col>
      <xdr:colOff>742950</xdr:colOff>
      <xdr:row>33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D5AC6F32-CC16-462C-B560-8FC5B8F26C48}"/>
            </a:ext>
          </a:extLst>
        </xdr:cNvPr>
        <xdr:cNvCxnSpPr>
          <a:cxnSpLocks noChangeShapeType="1"/>
        </xdr:cNvCxnSpPr>
      </xdr:nvCxnSpPr>
      <xdr:spPr bwMode="auto">
        <a:xfrm flipH="1">
          <a:off x="19043650" y="70548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25</xdr:row>
      <xdr:rowOff>146050</xdr:rowOff>
    </xdr:from>
    <xdr:to>
      <xdr:col>11</xdr:col>
      <xdr:colOff>152400</xdr:colOff>
      <xdr:row>33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9AD5B317-A1E9-4BC6-8E29-747EDDEC519C}"/>
            </a:ext>
          </a:extLst>
        </xdr:cNvPr>
        <xdr:cNvCxnSpPr>
          <a:cxnSpLocks noChangeShapeType="1"/>
        </xdr:cNvCxnSpPr>
      </xdr:nvCxnSpPr>
      <xdr:spPr bwMode="auto">
        <a:xfrm>
          <a:off x="6127750" y="3524250"/>
          <a:ext cx="6902450" cy="42418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10E79E7-CD23-4BBE-B5ED-B2913849ED4D}"/>
            </a:ext>
          </a:extLst>
        </xdr:cNvPr>
        <xdr:cNvCxnSpPr>
          <a:cxnSpLocks noChangeShapeType="1"/>
        </xdr:cNvCxnSpPr>
      </xdr:nvCxnSpPr>
      <xdr:spPr bwMode="auto">
        <a:xfrm>
          <a:off x="19037300" y="54927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139700</xdr:rowOff>
    </xdr:from>
    <xdr:to>
      <xdr:col>16</xdr:col>
      <xdr:colOff>742950</xdr:colOff>
      <xdr:row>33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6B36AC0D-CA22-44F4-B97D-5FD442FE725E}"/>
            </a:ext>
          </a:extLst>
        </xdr:cNvPr>
        <xdr:cNvCxnSpPr>
          <a:cxnSpLocks noChangeShapeType="1"/>
        </xdr:cNvCxnSpPr>
      </xdr:nvCxnSpPr>
      <xdr:spPr bwMode="auto">
        <a:xfrm flipH="1">
          <a:off x="19037300" y="77851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28</xdr:row>
      <xdr:rowOff>146050</xdr:rowOff>
    </xdr:from>
    <xdr:to>
      <xdr:col>11</xdr:col>
      <xdr:colOff>152400</xdr:colOff>
      <xdr:row>39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790CB7FB-58DE-41ED-985B-D2971683A49A}"/>
            </a:ext>
          </a:extLst>
        </xdr:cNvPr>
        <xdr:cNvCxnSpPr>
          <a:cxnSpLocks noChangeShapeType="1"/>
        </xdr:cNvCxnSpPr>
      </xdr:nvCxnSpPr>
      <xdr:spPr bwMode="auto">
        <a:xfrm>
          <a:off x="6032500" y="5670550"/>
          <a:ext cx="6902450" cy="52705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34</xdr:row>
      <xdr:rowOff>107950</xdr:rowOff>
    </xdr:from>
    <xdr:to>
      <xdr:col>15</xdr:col>
      <xdr:colOff>1066800</xdr:colOff>
      <xdr:row>34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AED2A14-E1D3-4CEE-B507-12FD4E58EEB9}"/>
            </a:ext>
          </a:extLst>
        </xdr:cNvPr>
        <xdr:cNvCxnSpPr>
          <a:cxnSpLocks noChangeShapeType="1"/>
        </xdr:cNvCxnSpPr>
      </xdr:nvCxnSpPr>
      <xdr:spPr bwMode="auto">
        <a:xfrm>
          <a:off x="18942050" y="74930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39</xdr:row>
      <xdr:rowOff>139700</xdr:rowOff>
    </xdr:from>
    <xdr:to>
      <xdr:col>16</xdr:col>
      <xdr:colOff>742950</xdr:colOff>
      <xdr:row>39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2E37352D-271E-411B-A93E-0CA472F3B2F6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109601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28</xdr:row>
      <xdr:rowOff>146050</xdr:rowOff>
    </xdr:from>
    <xdr:to>
      <xdr:col>11</xdr:col>
      <xdr:colOff>152400</xdr:colOff>
      <xdr:row>39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F1A414E2-38AD-4261-919A-05844F22FF03}"/>
            </a:ext>
          </a:extLst>
        </xdr:cNvPr>
        <xdr:cNvCxnSpPr>
          <a:cxnSpLocks noChangeShapeType="1"/>
        </xdr:cNvCxnSpPr>
      </xdr:nvCxnSpPr>
      <xdr:spPr bwMode="auto">
        <a:xfrm>
          <a:off x="6032500" y="3524250"/>
          <a:ext cx="6902450" cy="46609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34</xdr:row>
      <xdr:rowOff>107950</xdr:rowOff>
    </xdr:from>
    <xdr:to>
      <xdr:col>15</xdr:col>
      <xdr:colOff>1066800</xdr:colOff>
      <xdr:row>34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ABE52D9-93FD-4E22-A9B9-9574686D854D}"/>
            </a:ext>
          </a:extLst>
        </xdr:cNvPr>
        <xdr:cNvCxnSpPr>
          <a:cxnSpLocks noChangeShapeType="1"/>
        </xdr:cNvCxnSpPr>
      </xdr:nvCxnSpPr>
      <xdr:spPr bwMode="auto">
        <a:xfrm>
          <a:off x="18942050" y="53467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39</xdr:row>
      <xdr:rowOff>139700</xdr:rowOff>
    </xdr:from>
    <xdr:to>
      <xdr:col>16</xdr:col>
      <xdr:colOff>742950</xdr:colOff>
      <xdr:row>39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D5AA9795-A6FB-4289-84E1-3AF992D0CA9E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82042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27</xdr:row>
      <xdr:rowOff>146050</xdr:rowOff>
    </xdr:from>
    <xdr:to>
      <xdr:col>11</xdr:col>
      <xdr:colOff>152400</xdr:colOff>
      <xdr:row>37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CC20B8D9-4AAF-4549-A633-C496D8E6A238}"/>
            </a:ext>
          </a:extLst>
        </xdr:cNvPr>
        <xdr:cNvCxnSpPr>
          <a:cxnSpLocks noChangeShapeType="1"/>
        </xdr:cNvCxnSpPr>
      </xdr:nvCxnSpPr>
      <xdr:spPr bwMode="auto">
        <a:xfrm>
          <a:off x="6032500" y="3524250"/>
          <a:ext cx="6902450" cy="480695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107950</xdr:rowOff>
    </xdr:from>
    <xdr:to>
      <xdr:col>15</xdr:col>
      <xdr:colOff>1066800</xdr:colOff>
      <xdr:row>33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F487B61-25D1-43E9-840A-92398D4A6B4F}"/>
            </a:ext>
          </a:extLst>
        </xdr:cNvPr>
        <xdr:cNvCxnSpPr>
          <a:cxnSpLocks noChangeShapeType="1"/>
        </xdr:cNvCxnSpPr>
      </xdr:nvCxnSpPr>
      <xdr:spPr bwMode="auto">
        <a:xfrm>
          <a:off x="18942050" y="54927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37</xdr:row>
      <xdr:rowOff>139700</xdr:rowOff>
    </xdr:from>
    <xdr:to>
      <xdr:col>16</xdr:col>
      <xdr:colOff>742950</xdr:colOff>
      <xdr:row>37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5025796B-FE07-4975-99C5-80C707FE675C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83502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25</xdr:row>
      <xdr:rowOff>146050</xdr:rowOff>
    </xdr:from>
    <xdr:to>
      <xdr:col>11</xdr:col>
      <xdr:colOff>152400</xdr:colOff>
      <xdr:row>33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8A08FDE5-829B-4FB1-8803-5E6F6707E85F}"/>
            </a:ext>
          </a:extLst>
        </xdr:cNvPr>
        <xdr:cNvCxnSpPr>
          <a:cxnSpLocks noChangeShapeType="1"/>
        </xdr:cNvCxnSpPr>
      </xdr:nvCxnSpPr>
      <xdr:spPr bwMode="auto">
        <a:xfrm>
          <a:off x="6070600" y="3194050"/>
          <a:ext cx="6902450" cy="324485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31</xdr:row>
      <xdr:rowOff>107950</xdr:rowOff>
    </xdr:from>
    <xdr:to>
      <xdr:col>15</xdr:col>
      <xdr:colOff>1066800</xdr:colOff>
      <xdr:row>31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988C6447-8E18-436C-AE52-9B798AF59F08}"/>
            </a:ext>
          </a:extLst>
        </xdr:cNvPr>
        <xdr:cNvCxnSpPr>
          <a:cxnSpLocks noChangeShapeType="1"/>
        </xdr:cNvCxnSpPr>
      </xdr:nvCxnSpPr>
      <xdr:spPr bwMode="auto">
        <a:xfrm>
          <a:off x="18980150" y="52959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139700</xdr:rowOff>
    </xdr:from>
    <xdr:to>
      <xdr:col>16</xdr:col>
      <xdr:colOff>742950</xdr:colOff>
      <xdr:row>33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64F8FC5B-DE8A-468C-8980-8828A233D212}"/>
            </a:ext>
          </a:extLst>
        </xdr:cNvPr>
        <xdr:cNvCxnSpPr>
          <a:cxnSpLocks noChangeShapeType="1"/>
        </xdr:cNvCxnSpPr>
      </xdr:nvCxnSpPr>
      <xdr:spPr bwMode="auto">
        <a:xfrm flipH="1">
          <a:off x="18980150" y="64579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26</xdr:row>
      <xdr:rowOff>146050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D6DD2F6F-1108-4B9A-9D81-D6863706889B}"/>
            </a:ext>
          </a:extLst>
        </xdr:cNvPr>
        <xdr:cNvCxnSpPr>
          <a:cxnSpLocks noChangeShapeType="1"/>
        </xdr:cNvCxnSpPr>
      </xdr:nvCxnSpPr>
      <xdr:spPr bwMode="auto">
        <a:xfrm>
          <a:off x="6070600" y="3346450"/>
          <a:ext cx="6902450" cy="382905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56C14C13-A495-4C98-AE35-FF6B4E376E5A}"/>
            </a:ext>
          </a:extLst>
        </xdr:cNvPr>
        <xdr:cNvCxnSpPr>
          <a:cxnSpLocks noChangeShapeType="1"/>
        </xdr:cNvCxnSpPr>
      </xdr:nvCxnSpPr>
      <xdr:spPr bwMode="auto">
        <a:xfrm>
          <a:off x="18980150" y="54673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FAFC7731-BE28-47B5-B064-F81DD2092A04}"/>
            </a:ext>
          </a:extLst>
        </xdr:cNvPr>
        <xdr:cNvCxnSpPr>
          <a:cxnSpLocks noChangeShapeType="1"/>
        </xdr:cNvCxnSpPr>
      </xdr:nvCxnSpPr>
      <xdr:spPr bwMode="auto">
        <a:xfrm flipH="1">
          <a:off x="18980150" y="71945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970643</xdr:colOff>
      <xdr:row>26</xdr:row>
      <xdr:rowOff>217715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EE54E427-D4BB-4BE0-BD1D-1CFBED825A2C}"/>
            </a:ext>
          </a:extLst>
        </xdr:cNvPr>
        <xdr:cNvCxnSpPr>
          <a:cxnSpLocks noChangeShapeType="1"/>
        </xdr:cNvCxnSpPr>
      </xdr:nvCxnSpPr>
      <xdr:spPr bwMode="auto">
        <a:xfrm>
          <a:off x="6322786" y="3419929"/>
          <a:ext cx="6720114" cy="3595007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99455B0-8EC3-4771-A05A-E4215E465F03}"/>
            </a:ext>
          </a:extLst>
        </xdr:cNvPr>
        <xdr:cNvCxnSpPr>
          <a:cxnSpLocks noChangeShapeType="1"/>
        </xdr:cNvCxnSpPr>
      </xdr:nvCxnSpPr>
      <xdr:spPr bwMode="auto">
        <a:xfrm>
          <a:off x="18942050" y="549275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853860CC-75C1-41F8-8FFC-BA272DCDF81A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83502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26</xdr:row>
      <xdr:rowOff>146050</xdr:rowOff>
    </xdr:from>
    <xdr:to>
      <xdr:col>11</xdr:col>
      <xdr:colOff>152400</xdr:colOff>
      <xdr:row>35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48A64691-BA39-45D2-B3A7-572EFB5A77AE}"/>
            </a:ext>
          </a:extLst>
        </xdr:cNvPr>
        <xdr:cNvCxnSpPr>
          <a:cxnSpLocks noChangeShapeType="1"/>
        </xdr:cNvCxnSpPr>
      </xdr:nvCxnSpPr>
      <xdr:spPr bwMode="auto">
        <a:xfrm>
          <a:off x="6070600" y="3359150"/>
          <a:ext cx="6902450" cy="38227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32</xdr:row>
      <xdr:rowOff>107950</xdr:rowOff>
    </xdr:from>
    <xdr:to>
      <xdr:col>15</xdr:col>
      <xdr:colOff>1066800</xdr:colOff>
      <xdr:row>32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D2513DE9-4D69-40A5-B1A9-781FC9245B3D}"/>
            </a:ext>
          </a:extLst>
        </xdr:cNvPr>
        <xdr:cNvCxnSpPr>
          <a:cxnSpLocks noChangeShapeType="1"/>
        </xdr:cNvCxnSpPr>
      </xdr:nvCxnSpPr>
      <xdr:spPr bwMode="auto">
        <a:xfrm>
          <a:off x="18980150" y="54737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35</xdr:row>
      <xdr:rowOff>139700</xdr:rowOff>
    </xdr:from>
    <xdr:to>
      <xdr:col>16</xdr:col>
      <xdr:colOff>742950</xdr:colOff>
      <xdr:row>35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807CE8F3-53E6-4E8C-A4C8-310DECAB1A91}"/>
            </a:ext>
          </a:extLst>
        </xdr:cNvPr>
        <xdr:cNvCxnSpPr>
          <a:cxnSpLocks noChangeShapeType="1"/>
        </xdr:cNvCxnSpPr>
      </xdr:nvCxnSpPr>
      <xdr:spPr bwMode="auto">
        <a:xfrm flipH="1">
          <a:off x="18980150" y="72009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27</xdr:row>
      <xdr:rowOff>146050</xdr:rowOff>
    </xdr:from>
    <xdr:to>
      <xdr:col>11</xdr:col>
      <xdr:colOff>152400</xdr:colOff>
      <xdr:row>37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E201EC81-5A84-45F1-AA2D-00F7607525C2}"/>
            </a:ext>
          </a:extLst>
        </xdr:cNvPr>
        <xdr:cNvCxnSpPr>
          <a:cxnSpLocks noChangeShapeType="1"/>
        </xdr:cNvCxnSpPr>
      </xdr:nvCxnSpPr>
      <xdr:spPr bwMode="auto">
        <a:xfrm>
          <a:off x="6089650" y="3689350"/>
          <a:ext cx="6902450" cy="441325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33</xdr:row>
      <xdr:rowOff>107950</xdr:rowOff>
    </xdr:from>
    <xdr:to>
      <xdr:col>15</xdr:col>
      <xdr:colOff>1066800</xdr:colOff>
      <xdr:row>33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FC5D1114-BCF5-4419-8F0B-823515E614CB}"/>
            </a:ext>
          </a:extLst>
        </xdr:cNvPr>
        <xdr:cNvCxnSpPr>
          <a:cxnSpLocks noChangeShapeType="1"/>
        </xdr:cNvCxnSpPr>
      </xdr:nvCxnSpPr>
      <xdr:spPr bwMode="auto">
        <a:xfrm>
          <a:off x="18999200" y="58293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37</xdr:row>
      <xdr:rowOff>139700</xdr:rowOff>
    </xdr:from>
    <xdr:to>
      <xdr:col>16</xdr:col>
      <xdr:colOff>742950</xdr:colOff>
      <xdr:row>37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D88A08AC-E6B3-46AF-BA5B-6B12F5BF69DF}"/>
            </a:ext>
          </a:extLst>
        </xdr:cNvPr>
        <xdr:cNvCxnSpPr>
          <a:cxnSpLocks noChangeShapeType="1"/>
        </xdr:cNvCxnSpPr>
      </xdr:nvCxnSpPr>
      <xdr:spPr bwMode="auto">
        <a:xfrm flipH="1">
          <a:off x="18999200" y="812165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018-CC93-4C83-A470-090614113169}">
  <dimension ref="A1:IV409"/>
  <sheetViews>
    <sheetView tabSelected="1" zoomScale="70" zoomScaleNormal="70" workbookViewId="0"/>
  </sheetViews>
  <sheetFormatPr baseColWidth="10" defaultColWidth="11.453125" defaultRowHeight="13"/>
  <cols>
    <col min="1" max="1" width="9.54296875" style="1" customWidth="1"/>
    <col min="2" max="2" width="26.26953125" style="1" customWidth="1"/>
    <col min="3" max="3" width="8.26953125" style="1" customWidth="1"/>
    <col min="4" max="4" width="10.26953125" style="1" customWidth="1"/>
    <col min="5" max="5" width="11.1796875" style="1" customWidth="1"/>
    <col min="6" max="6" width="8.453125" style="1" customWidth="1"/>
    <col min="7" max="7" width="10.1796875" style="1" customWidth="1"/>
    <col min="8" max="8" width="10.54296875" style="1" customWidth="1"/>
    <col min="9" max="9" width="1.453125" style="1" customWidth="1"/>
    <col min="10" max="10" width="1.7265625" style="1" customWidth="1"/>
    <col min="11" max="11" width="9.54296875" style="1" hidden="1" customWidth="1"/>
    <col min="12" max="12" width="10" style="1" hidden="1" customWidth="1"/>
    <col min="13" max="13" width="10.7265625" style="1" hidden="1" customWidth="1"/>
    <col min="14" max="14" width="8.54296875" style="1" hidden="1" customWidth="1"/>
    <col min="15" max="15" width="8.1796875" style="1" hidden="1" customWidth="1"/>
    <col min="16" max="16" width="11.453125" style="1" hidden="1" customWidth="1"/>
    <col min="17" max="17" width="10.1796875" style="1" customWidth="1"/>
    <col min="18" max="18" width="6.54296875" style="1" hidden="1" customWidth="1"/>
    <col min="19" max="19" width="7.1796875" style="1" hidden="1" customWidth="1"/>
    <col min="20" max="21" width="7.7265625" style="1" hidden="1" customWidth="1"/>
    <col min="22" max="22" width="9.1796875" style="1" customWidth="1"/>
    <col min="23" max="23" width="11.90625" style="1" customWidth="1"/>
    <col min="24" max="24" width="1.453125" style="1" customWidth="1"/>
    <col min="25" max="25" width="1.7265625" style="1" customWidth="1"/>
    <col min="26" max="26" width="18.26953125" style="1" hidden="1" customWidth="1"/>
    <col min="27" max="27" width="21.81640625" style="1" hidden="1" customWidth="1"/>
    <col min="28" max="28" width="9.453125" style="1" hidden="1" customWidth="1"/>
    <col min="29" max="29" width="11.7265625" style="1" hidden="1" customWidth="1"/>
    <col min="30" max="30" width="8.81640625" style="1" hidden="1" customWidth="1"/>
    <col min="31" max="31" width="10.54296875" style="1" hidden="1" customWidth="1"/>
    <col min="32" max="32" width="14.7265625" style="116" hidden="1" customWidth="1"/>
    <col min="33" max="34" width="11.7265625" style="1" hidden="1" customWidth="1"/>
    <col min="35" max="35" width="13.81640625" style="1" hidden="1" customWidth="1"/>
    <col min="36" max="36" width="11.1796875" style="1" hidden="1" customWidth="1"/>
    <col min="37" max="37" width="11.1796875" style="1" customWidth="1"/>
    <col min="38" max="38" width="16.7265625" style="1" hidden="1" customWidth="1"/>
    <col min="39" max="39" width="11.453125" style="1" hidden="1" customWidth="1"/>
    <col min="40" max="40" width="13" style="1" customWidth="1"/>
    <col min="41" max="42" width="11.453125" style="1" hidden="1" customWidth="1"/>
    <col min="43" max="43" width="9.1796875" style="1" hidden="1" customWidth="1"/>
    <col min="44" max="44" width="11.453125" style="1"/>
    <col min="45" max="45" width="12.453125" style="1" customWidth="1"/>
    <col min="46" max="47" width="10.7265625" style="1" customWidth="1"/>
    <col min="48" max="48" width="1.81640625" style="1" customWidth="1"/>
    <col min="49" max="49" width="2" style="1" customWidth="1"/>
    <col min="50" max="53" width="11.453125" style="1" hidden="1" customWidth="1"/>
    <col min="54" max="54" width="4.54296875" style="1" hidden="1" customWidth="1"/>
    <col min="55" max="57" width="11.453125" style="1" hidden="1" customWidth="1"/>
    <col min="58" max="58" width="12.54296875" style="1" hidden="1" customWidth="1"/>
    <col min="59" max="64" width="11.453125" style="1" hidden="1" customWidth="1"/>
    <col min="65" max="65" width="21" style="1" hidden="1" customWidth="1"/>
    <col min="66" max="66" width="19.81640625" style="1" hidden="1" customWidth="1"/>
    <col min="67" max="67" width="18.453125" style="1" hidden="1" customWidth="1"/>
    <col min="68" max="68" width="20.1796875" style="1" hidden="1" customWidth="1"/>
    <col min="69" max="69" width="20.54296875" style="1" hidden="1" customWidth="1"/>
    <col min="70" max="70" width="7.1796875" style="1" hidden="1" customWidth="1"/>
    <col min="71" max="71" width="20" style="1" hidden="1" customWidth="1"/>
    <col min="72" max="72" width="19.26953125" style="1" hidden="1" customWidth="1"/>
    <col min="73" max="73" width="13" style="1" customWidth="1"/>
    <col min="74" max="75" width="12.26953125" style="1" customWidth="1"/>
    <col min="76" max="256" width="11.453125" style="1"/>
    <col min="257" max="257" width="4.453125" style="1" customWidth="1"/>
    <col min="258" max="258" width="26.26953125" style="1" customWidth="1"/>
    <col min="259" max="259" width="8.26953125" style="1" customWidth="1"/>
    <col min="260" max="260" width="10.26953125" style="1" customWidth="1"/>
    <col min="261" max="261" width="11.1796875" style="1" customWidth="1"/>
    <col min="262" max="262" width="8.453125" style="1" customWidth="1"/>
    <col min="263" max="263" width="10.1796875" style="1" customWidth="1"/>
    <col min="264" max="264" width="10.54296875" style="1" customWidth="1"/>
    <col min="265" max="265" width="1.453125" style="1" customWidth="1"/>
    <col min="266" max="266" width="1.7265625" style="1" customWidth="1"/>
    <col min="267" max="272" width="0" style="1" hidden="1" customWidth="1"/>
    <col min="273" max="273" width="10.1796875" style="1" customWidth="1"/>
    <col min="274" max="277" width="0" style="1" hidden="1" customWidth="1"/>
    <col min="278" max="278" width="9.1796875" style="1" customWidth="1"/>
    <col min="279" max="279" width="11.90625" style="1" customWidth="1"/>
    <col min="280" max="280" width="1.453125" style="1" customWidth="1"/>
    <col min="281" max="281" width="1.7265625" style="1" customWidth="1"/>
    <col min="282" max="292" width="0" style="1" hidden="1" customWidth="1"/>
    <col min="293" max="293" width="11.1796875" style="1" customWidth="1"/>
    <col min="294" max="295" width="0" style="1" hidden="1" customWidth="1"/>
    <col min="296" max="296" width="13" style="1" customWidth="1"/>
    <col min="297" max="299" width="0" style="1" hidden="1" customWidth="1"/>
    <col min="300" max="300" width="11.453125" style="1"/>
    <col min="301" max="301" width="12.453125" style="1" customWidth="1"/>
    <col min="302" max="303" width="10.7265625" style="1" customWidth="1"/>
    <col min="304" max="304" width="1.81640625" style="1" customWidth="1"/>
    <col min="305" max="305" width="2" style="1" customWidth="1"/>
    <col min="306" max="328" width="0" style="1" hidden="1" customWidth="1"/>
    <col min="329" max="329" width="13" style="1" customWidth="1"/>
    <col min="330" max="331" width="12.26953125" style="1" customWidth="1"/>
    <col min="332" max="512" width="11.453125" style="1"/>
    <col min="513" max="513" width="4.453125" style="1" customWidth="1"/>
    <col min="514" max="514" width="26.26953125" style="1" customWidth="1"/>
    <col min="515" max="515" width="8.26953125" style="1" customWidth="1"/>
    <col min="516" max="516" width="10.26953125" style="1" customWidth="1"/>
    <col min="517" max="517" width="11.1796875" style="1" customWidth="1"/>
    <col min="518" max="518" width="8.453125" style="1" customWidth="1"/>
    <col min="519" max="519" width="10.1796875" style="1" customWidth="1"/>
    <col min="520" max="520" width="10.54296875" style="1" customWidth="1"/>
    <col min="521" max="521" width="1.453125" style="1" customWidth="1"/>
    <col min="522" max="522" width="1.7265625" style="1" customWidth="1"/>
    <col min="523" max="528" width="0" style="1" hidden="1" customWidth="1"/>
    <col min="529" max="529" width="10.1796875" style="1" customWidth="1"/>
    <col min="530" max="533" width="0" style="1" hidden="1" customWidth="1"/>
    <col min="534" max="534" width="9.1796875" style="1" customWidth="1"/>
    <col min="535" max="535" width="11.90625" style="1" customWidth="1"/>
    <col min="536" max="536" width="1.453125" style="1" customWidth="1"/>
    <col min="537" max="537" width="1.7265625" style="1" customWidth="1"/>
    <col min="538" max="548" width="0" style="1" hidden="1" customWidth="1"/>
    <col min="549" max="549" width="11.1796875" style="1" customWidth="1"/>
    <col min="550" max="551" width="0" style="1" hidden="1" customWidth="1"/>
    <col min="552" max="552" width="13" style="1" customWidth="1"/>
    <col min="553" max="555" width="0" style="1" hidden="1" customWidth="1"/>
    <col min="556" max="556" width="11.453125" style="1"/>
    <col min="557" max="557" width="12.453125" style="1" customWidth="1"/>
    <col min="558" max="559" width="10.7265625" style="1" customWidth="1"/>
    <col min="560" max="560" width="1.81640625" style="1" customWidth="1"/>
    <col min="561" max="561" width="2" style="1" customWidth="1"/>
    <col min="562" max="584" width="0" style="1" hidden="1" customWidth="1"/>
    <col min="585" max="585" width="13" style="1" customWidth="1"/>
    <col min="586" max="587" width="12.26953125" style="1" customWidth="1"/>
    <col min="588" max="768" width="11.453125" style="1"/>
    <col min="769" max="769" width="4.453125" style="1" customWidth="1"/>
    <col min="770" max="770" width="26.26953125" style="1" customWidth="1"/>
    <col min="771" max="771" width="8.26953125" style="1" customWidth="1"/>
    <col min="772" max="772" width="10.26953125" style="1" customWidth="1"/>
    <col min="773" max="773" width="11.1796875" style="1" customWidth="1"/>
    <col min="774" max="774" width="8.453125" style="1" customWidth="1"/>
    <col min="775" max="775" width="10.1796875" style="1" customWidth="1"/>
    <col min="776" max="776" width="10.54296875" style="1" customWidth="1"/>
    <col min="777" max="777" width="1.453125" style="1" customWidth="1"/>
    <col min="778" max="778" width="1.7265625" style="1" customWidth="1"/>
    <col min="779" max="784" width="0" style="1" hidden="1" customWidth="1"/>
    <col min="785" max="785" width="10.1796875" style="1" customWidth="1"/>
    <col min="786" max="789" width="0" style="1" hidden="1" customWidth="1"/>
    <col min="790" max="790" width="9.1796875" style="1" customWidth="1"/>
    <col min="791" max="791" width="11.90625" style="1" customWidth="1"/>
    <col min="792" max="792" width="1.453125" style="1" customWidth="1"/>
    <col min="793" max="793" width="1.7265625" style="1" customWidth="1"/>
    <col min="794" max="804" width="0" style="1" hidden="1" customWidth="1"/>
    <col min="805" max="805" width="11.1796875" style="1" customWidth="1"/>
    <col min="806" max="807" width="0" style="1" hidden="1" customWidth="1"/>
    <col min="808" max="808" width="13" style="1" customWidth="1"/>
    <col min="809" max="811" width="0" style="1" hidden="1" customWidth="1"/>
    <col min="812" max="812" width="11.453125" style="1"/>
    <col min="813" max="813" width="12.453125" style="1" customWidth="1"/>
    <col min="814" max="815" width="10.7265625" style="1" customWidth="1"/>
    <col min="816" max="816" width="1.81640625" style="1" customWidth="1"/>
    <col min="817" max="817" width="2" style="1" customWidth="1"/>
    <col min="818" max="840" width="0" style="1" hidden="1" customWidth="1"/>
    <col min="841" max="841" width="13" style="1" customWidth="1"/>
    <col min="842" max="843" width="12.26953125" style="1" customWidth="1"/>
    <col min="844" max="1024" width="11.453125" style="1"/>
    <col min="1025" max="1025" width="4.453125" style="1" customWidth="1"/>
    <col min="1026" max="1026" width="26.26953125" style="1" customWidth="1"/>
    <col min="1027" max="1027" width="8.26953125" style="1" customWidth="1"/>
    <col min="1028" max="1028" width="10.26953125" style="1" customWidth="1"/>
    <col min="1029" max="1029" width="11.1796875" style="1" customWidth="1"/>
    <col min="1030" max="1030" width="8.453125" style="1" customWidth="1"/>
    <col min="1031" max="1031" width="10.1796875" style="1" customWidth="1"/>
    <col min="1032" max="1032" width="10.54296875" style="1" customWidth="1"/>
    <col min="1033" max="1033" width="1.453125" style="1" customWidth="1"/>
    <col min="1034" max="1034" width="1.7265625" style="1" customWidth="1"/>
    <col min="1035" max="1040" width="0" style="1" hidden="1" customWidth="1"/>
    <col min="1041" max="1041" width="10.1796875" style="1" customWidth="1"/>
    <col min="1042" max="1045" width="0" style="1" hidden="1" customWidth="1"/>
    <col min="1046" max="1046" width="9.1796875" style="1" customWidth="1"/>
    <col min="1047" max="1047" width="11.90625" style="1" customWidth="1"/>
    <col min="1048" max="1048" width="1.453125" style="1" customWidth="1"/>
    <col min="1049" max="1049" width="1.7265625" style="1" customWidth="1"/>
    <col min="1050" max="1060" width="0" style="1" hidden="1" customWidth="1"/>
    <col min="1061" max="1061" width="11.1796875" style="1" customWidth="1"/>
    <col min="1062" max="1063" width="0" style="1" hidden="1" customWidth="1"/>
    <col min="1064" max="1064" width="13" style="1" customWidth="1"/>
    <col min="1065" max="1067" width="0" style="1" hidden="1" customWidth="1"/>
    <col min="1068" max="1068" width="11.453125" style="1"/>
    <col min="1069" max="1069" width="12.453125" style="1" customWidth="1"/>
    <col min="1070" max="1071" width="10.7265625" style="1" customWidth="1"/>
    <col min="1072" max="1072" width="1.81640625" style="1" customWidth="1"/>
    <col min="1073" max="1073" width="2" style="1" customWidth="1"/>
    <col min="1074" max="1096" width="0" style="1" hidden="1" customWidth="1"/>
    <col min="1097" max="1097" width="13" style="1" customWidth="1"/>
    <col min="1098" max="1099" width="12.26953125" style="1" customWidth="1"/>
    <col min="1100" max="1280" width="11.453125" style="1"/>
    <col min="1281" max="1281" width="4.453125" style="1" customWidth="1"/>
    <col min="1282" max="1282" width="26.26953125" style="1" customWidth="1"/>
    <col min="1283" max="1283" width="8.26953125" style="1" customWidth="1"/>
    <col min="1284" max="1284" width="10.26953125" style="1" customWidth="1"/>
    <col min="1285" max="1285" width="11.1796875" style="1" customWidth="1"/>
    <col min="1286" max="1286" width="8.453125" style="1" customWidth="1"/>
    <col min="1287" max="1287" width="10.1796875" style="1" customWidth="1"/>
    <col min="1288" max="1288" width="10.54296875" style="1" customWidth="1"/>
    <col min="1289" max="1289" width="1.453125" style="1" customWidth="1"/>
    <col min="1290" max="1290" width="1.7265625" style="1" customWidth="1"/>
    <col min="1291" max="1296" width="0" style="1" hidden="1" customWidth="1"/>
    <col min="1297" max="1297" width="10.1796875" style="1" customWidth="1"/>
    <col min="1298" max="1301" width="0" style="1" hidden="1" customWidth="1"/>
    <col min="1302" max="1302" width="9.1796875" style="1" customWidth="1"/>
    <col min="1303" max="1303" width="11.90625" style="1" customWidth="1"/>
    <col min="1304" max="1304" width="1.453125" style="1" customWidth="1"/>
    <col min="1305" max="1305" width="1.7265625" style="1" customWidth="1"/>
    <col min="1306" max="1316" width="0" style="1" hidden="1" customWidth="1"/>
    <col min="1317" max="1317" width="11.1796875" style="1" customWidth="1"/>
    <col min="1318" max="1319" width="0" style="1" hidden="1" customWidth="1"/>
    <col min="1320" max="1320" width="13" style="1" customWidth="1"/>
    <col min="1321" max="1323" width="0" style="1" hidden="1" customWidth="1"/>
    <col min="1324" max="1324" width="11.453125" style="1"/>
    <col min="1325" max="1325" width="12.453125" style="1" customWidth="1"/>
    <col min="1326" max="1327" width="10.7265625" style="1" customWidth="1"/>
    <col min="1328" max="1328" width="1.81640625" style="1" customWidth="1"/>
    <col min="1329" max="1329" width="2" style="1" customWidth="1"/>
    <col min="1330" max="1352" width="0" style="1" hidden="1" customWidth="1"/>
    <col min="1353" max="1353" width="13" style="1" customWidth="1"/>
    <col min="1354" max="1355" width="12.26953125" style="1" customWidth="1"/>
    <col min="1356" max="1536" width="11.453125" style="1"/>
    <col min="1537" max="1537" width="4.453125" style="1" customWidth="1"/>
    <col min="1538" max="1538" width="26.26953125" style="1" customWidth="1"/>
    <col min="1539" max="1539" width="8.26953125" style="1" customWidth="1"/>
    <col min="1540" max="1540" width="10.26953125" style="1" customWidth="1"/>
    <col min="1541" max="1541" width="11.1796875" style="1" customWidth="1"/>
    <col min="1542" max="1542" width="8.453125" style="1" customWidth="1"/>
    <col min="1543" max="1543" width="10.1796875" style="1" customWidth="1"/>
    <col min="1544" max="1544" width="10.54296875" style="1" customWidth="1"/>
    <col min="1545" max="1545" width="1.453125" style="1" customWidth="1"/>
    <col min="1546" max="1546" width="1.7265625" style="1" customWidth="1"/>
    <col min="1547" max="1552" width="0" style="1" hidden="1" customWidth="1"/>
    <col min="1553" max="1553" width="10.1796875" style="1" customWidth="1"/>
    <col min="1554" max="1557" width="0" style="1" hidden="1" customWidth="1"/>
    <col min="1558" max="1558" width="9.1796875" style="1" customWidth="1"/>
    <col min="1559" max="1559" width="11.90625" style="1" customWidth="1"/>
    <col min="1560" max="1560" width="1.453125" style="1" customWidth="1"/>
    <col min="1561" max="1561" width="1.7265625" style="1" customWidth="1"/>
    <col min="1562" max="1572" width="0" style="1" hidden="1" customWidth="1"/>
    <col min="1573" max="1573" width="11.1796875" style="1" customWidth="1"/>
    <col min="1574" max="1575" width="0" style="1" hidden="1" customWidth="1"/>
    <col min="1576" max="1576" width="13" style="1" customWidth="1"/>
    <col min="1577" max="1579" width="0" style="1" hidden="1" customWidth="1"/>
    <col min="1580" max="1580" width="11.453125" style="1"/>
    <col min="1581" max="1581" width="12.453125" style="1" customWidth="1"/>
    <col min="1582" max="1583" width="10.7265625" style="1" customWidth="1"/>
    <col min="1584" max="1584" width="1.81640625" style="1" customWidth="1"/>
    <col min="1585" max="1585" width="2" style="1" customWidth="1"/>
    <col min="1586" max="1608" width="0" style="1" hidden="1" customWidth="1"/>
    <col min="1609" max="1609" width="13" style="1" customWidth="1"/>
    <col min="1610" max="1611" width="12.26953125" style="1" customWidth="1"/>
    <col min="1612" max="1792" width="11.453125" style="1"/>
    <col min="1793" max="1793" width="4.453125" style="1" customWidth="1"/>
    <col min="1794" max="1794" width="26.26953125" style="1" customWidth="1"/>
    <col min="1795" max="1795" width="8.26953125" style="1" customWidth="1"/>
    <col min="1796" max="1796" width="10.26953125" style="1" customWidth="1"/>
    <col min="1797" max="1797" width="11.1796875" style="1" customWidth="1"/>
    <col min="1798" max="1798" width="8.453125" style="1" customWidth="1"/>
    <col min="1799" max="1799" width="10.1796875" style="1" customWidth="1"/>
    <col min="1800" max="1800" width="10.54296875" style="1" customWidth="1"/>
    <col min="1801" max="1801" width="1.453125" style="1" customWidth="1"/>
    <col min="1802" max="1802" width="1.7265625" style="1" customWidth="1"/>
    <col min="1803" max="1808" width="0" style="1" hidden="1" customWidth="1"/>
    <col min="1809" max="1809" width="10.1796875" style="1" customWidth="1"/>
    <col min="1810" max="1813" width="0" style="1" hidden="1" customWidth="1"/>
    <col min="1814" max="1814" width="9.1796875" style="1" customWidth="1"/>
    <col min="1815" max="1815" width="11.90625" style="1" customWidth="1"/>
    <col min="1816" max="1816" width="1.453125" style="1" customWidth="1"/>
    <col min="1817" max="1817" width="1.7265625" style="1" customWidth="1"/>
    <col min="1818" max="1828" width="0" style="1" hidden="1" customWidth="1"/>
    <col min="1829" max="1829" width="11.1796875" style="1" customWidth="1"/>
    <col min="1830" max="1831" width="0" style="1" hidden="1" customWidth="1"/>
    <col min="1832" max="1832" width="13" style="1" customWidth="1"/>
    <col min="1833" max="1835" width="0" style="1" hidden="1" customWidth="1"/>
    <col min="1836" max="1836" width="11.453125" style="1"/>
    <col min="1837" max="1837" width="12.453125" style="1" customWidth="1"/>
    <col min="1838" max="1839" width="10.7265625" style="1" customWidth="1"/>
    <col min="1840" max="1840" width="1.81640625" style="1" customWidth="1"/>
    <col min="1841" max="1841" width="2" style="1" customWidth="1"/>
    <col min="1842" max="1864" width="0" style="1" hidden="1" customWidth="1"/>
    <col min="1865" max="1865" width="13" style="1" customWidth="1"/>
    <col min="1866" max="1867" width="12.26953125" style="1" customWidth="1"/>
    <col min="1868" max="2048" width="11.453125" style="1"/>
    <col min="2049" max="2049" width="4.453125" style="1" customWidth="1"/>
    <col min="2050" max="2050" width="26.26953125" style="1" customWidth="1"/>
    <col min="2051" max="2051" width="8.26953125" style="1" customWidth="1"/>
    <col min="2052" max="2052" width="10.26953125" style="1" customWidth="1"/>
    <col min="2053" max="2053" width="11.1796875" style="1" customWidth="1"/>
    <col min="2054" max="2054" width="8.453125" style="1" customWidth="1"/>
    <col min="2055" max="2055" width="10.1796875" style="1" customWidth="1"/>
    <col min="2056" max="2056" width="10.54296875" style="1" customWidth="1"/>
    <col min="2057" max="2057" width="1.453125" style="1" customWidth="1"/>
    <col min="2058" max="2058" width="1.7265625" style="1" customWidth="1"/>
    <col min="2059" max="2064" width="0" style="1" hidden="1" customWidth="1"/>
    <col min="2065" max="2065" width="10.1796875" style="1" customWidth="1"/>
    <col min="2066" max="2069" width="0" style="1" hidden="1" customWidth="1"/>
    <col min="2070" max="2070" width="9.1796875" style="1" customWidth="1"/>
    <col min="2071" max="2071" width="11.90625" style="1" customWidth="1"/>
    <col min="2072" max="2072" width="1.453125" style="1" customWidth="1"/>
    <col min="2073" max="2073" width="1.7265625" style="1" customWidth="1"/>
    <col min="2074" max="2084" width="0" style="1" hidden="1" customWidth="1"/>
    <col min="2085" max="2085" width="11.1796875" style="1" customWidth="1"/>
    <col min="2086" max="2087" width="0" style="1" hidden="1" customWidth="1"/>
    <col min="2088" max="2088" width="13" style="1" customWidth="1"/>
    <col min="2089" max="2091" width="0" style="1" hidden="1" customWidth="1"/>
    <col min="2092" max="2092" width="11.453125" style="1"/>
    <col min="2093" max="2093" width="12.453125" style="1" customWidth="1"/>
    <col min="2094" max="2095" width="10.7265625" style="1" customWidth="1"/>
    <col min="2096" max="2096" width="1.81640625" style="1" customWidth="1"/>
    <col min="2097" max="2097" width="2" style="1" customWidth="1"/>
    <col min="2098" max="2120" width="0" style="1" hidden="1" customWidth="1"/>
    <col min="2121" max="2121" width="13" style="1" customWidth="1"/>
    <col min="2122" max="2123" width="12.26953125" style="1" customWidth="1"/>
    <col min="2124" max="2304" width="11.453125" style="1"/>
    <col min="2305" max="2305" width="4.453125" style="1" customWidth="1"/>
    <col min="2306" max="2306" width="26.26953125" style="1" customWidth="1"/>
    <col min="2307" max="2307" width="8.26953125" style="1" customWidth="1"/>
    <col min="2308" max="2308" width="10.26953125" style="1" customWidth="1"/>
    <col min="2309" max="2309" width="11.1796875" style="1" customWidth="1"/>
    <col min="2310" max="2310" width="8.453125" style="1" customWidth="1"/>
    <col min="2311" max="2311" width="10.1796875" style="1" customWidth="1"/>
    <col min="2312" max="2312" width="10.54296875" style="1" customWidth="1"/>
    <col min="2313" max="2313" width="1.453125" style="1" customWidth="1"/>
    <col min="2314" max="2314" width="1.7265625" style="1" customWidth="1"/>
    <col min="2315" max="2320" width="0" style="1" hidden="1" customWidth="1"/>
    <col min="2321" max="2321" width="10.1796875" style="1" customWidth="1"/>
    <col min="2322" max="2325" width="0" style="1" hidden="1" customWidth="1"/>
    <col min="2326" max="2326" width="9.1796875" style="1" customWidth="1"/>
    <col min="2327" max="2327" width="11.90625" style="1" customWidth="1"/>
    <col min="2328" max="2328" width="1.453125" style="1" customWidth="1"/>
    <col min="2329" max="2329" width="1.7265625" style="1" customWidth="1"/>
    <col min="2330" max="2340" width="0" style="1" hidden="1" customWidth="1"/>
    <col min="2341" max="2341" width="11.1796875" style="1" customWidth="1"/>
    <col min="2342" max="2343" width="0" style="1" hidden="1" customWidth="1"/>
    <col min="2344" max="2344" width="13" style="1" customWidth="1"/>
    <col min="2345" max="2347" width="0" style="1" hidden="1" customWidth="1"/>
    <col min="2348" max="2348" width="11.453125" style="1"/>
    <col min="2349" max="2349" width="12.453125" style="1" customWidth="1"/>
    <col min="2350" max="2351" width="10.7265625" style="1" customWidth="1"/>
    <col min="2352" max="2352" width="1.81640625" style="1" customWidth="1"/>
    <col min="2353" max="2353" width="2" style="1" customWidth="1"/>
    <col min="2354" max="2376" width="0" style="1" hidden="1" customWidth="1"/>
    <col min="2377" max="2377" width="13" style="1" customWidth="1"/>
    <col min="2378" max="2379" width="12.26953125" style="1" customWidth="1"/>
    <col min="2380" max="2560" width="11.453125" style="1"/>
    <col min="2561" max="2561" width="4.453125" style="1" customWidth="1"/>
    <col min="2562" max="2562" width="26.26953125" style="1" customWidth="1"/>
    <col min="2563" max="2563" width="8.26953125" style="1" customWidth="1"/>
    <col min="2564" max="2564" width="10.26953125" style="1" customWidth="1"/>
    <col min="2565" max="2565" width="11.1796875" style="1" customWidth="1"/>
    <col min="2566" max="2566" width="8.453125" style="1" customWidth="1"/>
    <col min="2567" max="2567" width="10.1796875" style="1" customWidth="1"/>
    <col min="2568" max="2568" width="10.54296875" style="1" customWidth="1"/>
    <col min="2569" max="2569" width="1.453125" style="1" customWidth="1"/>
    <col min="2570" max="2570" width="1.7265625" style="1" customWidth="1"/>
    <col min="2571" max="2576" width="0" style="1" hidden="1" customWidth="1"/>
    <col min="2577" max="2577" width="10.1796875" style="1" customWidth="1"/>
    <col min="2578" max="2581" width="0" style="1" hidden="1" customWidth="1"/>
    <col min="2582" max="2582" width="9.1796875" style="1" customWidth="1"/>
    <col min="2583" max="2583" width="11.90625" style="1" customWidth="1"/>
    <col min="2584" max="2584" width="1.453125" style="1" customWidth="1"/>
    <col min="2585" max="2585" width="1.7265625" style="1" customWidth="1"/>
    <col min="2586" max="2596" width="0" style="1" hidden="1" customWidth="1"/>
    <col min="2597" max="2597" width="11.1796875" style="1" customWidth="1"/>
    <col min="2598" max="2599" width="0" style="1" hidden="1" customWidth="1"/>
    <col min="2600" max="2600" width="13" style="1" customWidth="1"/>
    <col min="2601" max="2603" width="0" style="1" hidden="1" customWidth="1"/>
    <col min="2604" max="2604" width="11.453125" style="1"/>
    <col min="2605" max="2605" width="12.453125" style="1" customWidth="1"/>
    <col min="2606" max="2607" width="10.7265625" style="1" customWidth="1"/>
    <col min="2608" max="2608" width="1.81640625" style="1" customWidth="1"/>
    <col min="2609" max="2609" width="2" style="1" customWidth="1"/>
    <col min="2610" max="2632" width="0" style="1" hidden="1" customWidth="1"/>
    <col min="2633" max="2633" width="13" style="1" customWidth="1"/>
    <col min="2634" max="2635" width="12.26953125" style="1" customWidth="1"/>
    <col min="2636" max="2816" width="11.453125" style="1"/>
    <col min="2817" max="2817" width="4.453125" style="1" customWidth="1"/>
    <col min="2818" max="2818" width="26.26953125" style="1" customWidth="1"/>
    <col min="2819" max="2819" width="8.26953125" style="1" customWidth="1"/>
    <col min="2820" max="2820" width="10.26953125" style="1" customWidth="1"/>
    <col min="2821" max="2821" width="11.1796875" style="1" customWidth="1"/>
    <col min="2822" max="2822" width="8.453125" style="1" customWidth="1"/>
    <col min="2823" max="2823" width="10.1796875" style="1" customWidth="1"/>
    <col min="2824" max="2824" width="10.54296875" style="1" customWidth="1"/>
    <col min="2825" max="2825" width="1.453125" style="1" customWidth="1"/>
    <col min="2826" max="2826" width="1.7265625" style="1" customWidth="1"/>
    <col min="2827" max="2832" width="0" style="1" hidden="1" customWidth="1"/>
    <col min="2833" max="2833" width="10.1796875" style="1" customWidth="1"/>
    <col min="2834" max="2837" width="0" style="1" hidden="1" customWidth="1"/>
    <col min="2838" max="2838" width="9.1796875" style="1" customWidth="1"/>
    <col min="2839" max="2839" width="11.90625" style="1" customWidth="1"/>
    <col min="2840" max="2840" width="1.453125" style="1" customWidth="1"/>
    <col min="2841" max="2841" width="1.7265625" style="1" customWidth="1"/>
    <col min="2842" max="2852" width="0" style="1" hidden="1" customWidth="1"/>
    <col min="2853" max="2853" width="11.1796875" style="1" customWidth="1"/>
    <col min="2854" max="2855" width="0" style="1" hidden="1" customWidth="1"/>
    <col min="2856" max="2856" width="13" style="1" customWidth="1"/>
    <col min="2857" max="2859" width="0" style="1" hidden="1" customWidth="1"/>
    <col min="2860" max="2860" width="11.453125" style="1"/>
    <col min="2861" max="2861" width="12.453125" style="1" customWidth="1"/>
    <col min="2862" max="2863" width="10.7265625" style="1" customWidth="1"/>
    <col min="2864" max="2864" width="1.81640625" style="1" customWidth="1"/>
    <col min="2865" max="2865" width="2" style="1" customWidth="1"/>
    <col min="2866" max="2888" width="0" style="1" hidden="1" customWidth="1"/>
    <col min="2889" max="2889" width="13" style="1" customWidth="1"/>
    <col min="2890" max="2891" width="12.26953125" style="1" customWidth="1"/>
    <col min="2892" max="3072" width="11.453125" style="1"/>
    <col min="3073" max="3073" width="4.453125" style="1" customWidth="1"/>
    <col min="3074" max="3074" width="26.26953125" style="1" customWidth="1"/>
    <col min="3075" max="3075" width="8.26953125" style="1" customWidth="1"/>
    <col min="3076" max="3076" width="10.26953125" style="1" customWidth="1"/>
    <col min="3077" max="3077" width="11.1796875" style="1" customWidth="1"/>
    <col min="3078" max="3078" width="8.453125" style="1" customWidth="1"/>
    <col min="3079" max="3079" width="10.1796875" style="1" customWidth="1"/>
    <col min="3080" max="3080" width="10.54296875" style="1" customWidth="1"/>
    <col min="3081" max="3081" width="1.453125" style="1" customWidth="1"/>
    <col min="3082" max="3082" width="1.7265625" style="1" customWidth="1"/>
    <col min="3083" max="3088" width="0" style="1" hidden="1" customWidth="1"/>
    <col min="3089" max="3089" width="10.1796875" style="1" customWidth="1"/>
    <col min="3090" max="3093" width="0" style="1" hidden="1" customWidth="1"/>
    <col min="3094" max="3094" width="9.1796875" style="1" customWidth="1"/>
    <col min="3095" max="3095" width="11.90625" style="1" customWidth="1"/>
    <col min="3096" max="3096" width="1.453125" style="1" customWidth="1"/>
    <col min="3097" max="3097" width="1.7265625" style="1" customWidth="1"/>
    <col min="3098" max="3108" width="0" style="1" hidden="1" customWidth="1"/>
    <col min="3109" max="3109" width="11.1796875" style="1" customWidth="1"/>
    <col min="3110" max="3111" width="0" style="1" hidden="1" customWidth="1"/>
    <col min="3112" max="3112" width="13" style="1" customWidth="1"/>
    <col min="3113" max="3115" width="0" style="1" hidden="1" customWidth="1"/>
    <col min="3116" max="3116" width="11.453125" style="1"/>
    <col min="3117" max="3117" width="12.453125" style="1" customWidth="1"/>
    <col min="3118" max="3119" width="10.7265625" style="1" customWidth="1"/>
    <col min="3120" max="3120" width="1.81640625" style="1" customWidth="1"/>
    <col min="3121" max="3121" width="2" style="1" customWidth="1"/>
    <col min="3122" max="3144" width="0" style="1" hidden="1" customWidth="1"/>
    <col min="3145" max="3145" width="13" style="1" customWidth="1"/>
    <col min="3146" max="3147" width="12.26953125" style="1" customWidth="1"/>
    <col min="3148" max="3328" width="11.453125" style="1"/>
    <col min="3329" max="3329" width="4.453125" style="1" customWidth="1"/>
    <col min="3330" max="3330" width="26.26953125" style="1" customWidth="1"/>
    <col min="3331" max="3331" width="8.26953125" style="1" customWidth="1"/>
    <col min="3332" max="3332" width="10.26953125" style="1" customWidth="1"/>
    <col min="3333" max="3333" width="11.1796875" style="1" customWidth="1"/>
    <col min="3334" max="3334" width="8.453125" style="1" customWidth="1"/>
    <col min="3335" max="3335" width="10.1796875" style="1" customWidth="1"/>
    <col min="3336" max="3336" width="10.54296875" style="1" customWidth="1"/>
    <col min="3337" max="3337" width="1.453125" style="1" customWidth="1"/>
    <col min="3338" max="3338" width="1.7265625" style="1" customWidth="1"/>
    <col min="3339" max="3344" width="0" style="1" hidden="1" customWidth="1"/>
    <col min="3345" max="3345" width="10.1796875" style="1" customWidth="1"/>
    <col min="3346" max="3349" width="0" style="1" hidden="1" customWidth="1"/>
    <col min="3350" max="3350" width="9.1796875" style="1" customWidth="1"/>
    <col min="3351" max="3351" width="11.90625" style="1" customWidth="1"/>
    <col min="3352" max="3352" width="1.453125" style="1" customWidth="1"/>
    <col min="3353" max="3353" width="1.7265625" style="1" customWidth="1"/>
    <col min="3354" max="3364" width="0" style="1" hidden="1" customWidth="1"/>
    <col min="3365" max="3365" width="11.1796875" style="1" customWidth="1"/>
    <col min="3366" max="3367" width="0" style="1" hidden="1" customWidth="1"/>
    <col min="3368" max="3368" width="13" style="1" customWidth="1"/>
    <col min="3369" max="3371" width="0" style="1" hidden="1" customWidth="1"/>
    <col min="3372" max="3372" width="11.453125" style="1"/>
    <col min="3373" max="3373" width="12.453125" style="1" customWidth="1"/>
    <col min="3374" max="3375" width="10.7265625" style="1" customWidth="1"/>
    <col min="3376" max="3376" width="1.81640625" style="1" customWidth="1"/>
    <col min="3377" max="3377" width="2" style="1" customWidth="1"/>
    <col min="3378" max="3400" width="0" style="1" hidden="1" customWidth="1"/>
    <col min="3401" max="3401" width="13" style="1" customWidth="1"/>
    <col min="3402" max="3403" width="12.26953125" style="1" customWidth="1"/>
    <col min="3404" max="3584" width="11.453125" style="1"/>
    <col min="3585" max="3585" width="4.453125" style="1" customWidth="1"/>
    <col min="3586" max="3586" width="26.26953125" style="1" customWidth="1"/>
    <col min="3587" max="3587" width="8.26953125" style="1" customWidth="1"/>
    <col min="3588" max="3588" width="10.26953125" style="1" customWidth="1"/>
    <col min="3589" max="3589" width="11.1796875" style="1" customWidth="1"/>
    <col min="3590" max="3590" width="8.453125" style="1" customWidth="1"/>
    <col min="3591" max="3591" width="10.1796875" style="1" customWidth="1"/>
    <col min="3592" max="3592" width="10.54296875" style="1" customWidth="1"/>
    <col min="3593" max="3593" width="1.453125" style="1" customWidth="1"/>
    <col min="3594" max="3594" width="1.7265625" style="1" customWidth="1"/>
    <col min="3595" max="3600" width="0" style="1" hidden="1" customWidth="1"/>
    <col min="3601" max="3601" width="10.1796875" style="1" customWidth="1"/>
    <col min="3602" max="3605" width="0" style="1" hidden="1" customWidth="1"/>
    <col min="3606" max="3606" width="9.1796875" style="1" customWidth="1"/>
    <col min="3607" max="3607" width="11.90625" style="1" customWidth="1"/>
    <col min="3608" max="3608" width="1.453125" style="1" customWidth="1"/>
    <col min="3609" max="3609" width="1.7265625" style="1" customWidth="1"/>
    <col min="3610" max="3620" width="0" style="1" hidden="1" customWidth="1"/>
    <col min="3621" max="3621" width="11.1796875" style="1" customWidth="1"/>
    <col min="3622" max="3623" width="0" style="1" hidden="1" customWidth="1"/>
    <col min="3624" max="3624" width="13" style="1" customWidth="1"/>
    <col min="3625" max="3627" width="0" style="1" hidden="1" customWidth="1"/>
    <col min="3628" max="3628" width="11.453125" style="1"/>
    <col min="3629" max="3629" width="12.453125" style="1" customWidth="1"/>
    <col min="3630" max="3631" width="10.7265625" style="1" customWidth="1"/>
    <col min="3632" max="3632" width="1.81640625" style="1" customWidth="1"/>
    <col min="3633" max="3633" width="2" style="1" customWidth="1"/>
    <col min="3634" max="3656" width="0" style="1" hidden="1" customWidth="1"/>
    <col min="3657" max="3657" width="13" style="1" customWidth="1"/>
    <col min="3658" max="3659" width="12.26953125" style="1" customWidth="1"/>
    <col min="3660" max="3840" width="11.453125" style="1"/>
    <col min="3841" max="3841" width="4.453125" style="1" customWidth="1"/>
    <col min="3842" max="3842" width="26.26953125" style="1" customWidth="1"/>
    <col min="3843" max="3843" width="8.26953125" style="1" customWidth="1"/>
    <col min="3844" max="3844" width="10.26953125" style="1" customWidth="1"/>
    <col min="3845" max="3845" width="11.1796875" style="1" customWidth="1"/>
    <col min="3846" max="3846" width="8.453125" style="1" customWidth="1"/>
    <col min="3847" max="3847" width="10.1796875" style="1" customWidth="1"/>
    <col min="3848" max="3848" width="10.54296875" style="1" customWidth="1"/>
    <col min="3849" max="3849" width="1.453125" style="1" customWidth="1"/>
    <col min="3850" max="3850" width="1.7265625" style="1" customWidth="1"/>
    <col min="3851" max="3856" width="0" style="1" hidden="1" customWidth="1"/>
    <col min="3857" max="3857" width="10.1796875" style="1" customWidth="1"/>
    <col min="3858" max="3861" width="0" style="1" hidden="1" customWidth="1"/>
    <col min="3862" max="3862" width="9.1796875" style="1" customWidth="1"/>
    <col min="3863" max="3863" width="11.90625" style="1" customWidth="1"/>
    <col min="3864" max="3864" width="1.453125" style="1" customWidth="1"/>
    <col min="3865" max="3865" width="1.7265625" style="1" customWidth="1"/>
    <col min="3866" max="3876" width="0" style="1" hidden="1" customWidth="1"/>
    <col min="3877" max="3877" width="11.1796875" style="1" customWidth="1"/>
    <col min="3878" max="3879" width="0" style="1" hidden="1" customWidth="1"/>
    <col min="3880" max="3880" width="13" style="1" customWidth="1"/>
    <col min="3881" max="3883" width="0" style="1" hidden="1" customWidth="1"/>
    <col min="3884" max="3884" width="11.453125" style="1"/>
    <col min="3885" max="3885" width="12.453125" style="1" customWidth="1"/>
    <col min="3886" max="3887" width="10.7265625" style="1" customWidth="1"/>
    <col min="3888" max="3888" width="1.81640625" style="1" customWidth="1"/>
    <col min="3889" max="3889" width="2" style="1" customWidth="1"/>
    <col min="3890" max="3912" width="0" style="1" hidden="1" customWidth="1"/>
    <col min="3913" max="3913" width="13" style="1" customWidth="1"/>
    <col min="3914" max="3915" width="12.26953125" style="1" customWidth="1"/>
    <col min="3916" max="4096" width="11.453125" style="1"/>
    <col min="4097" max="4097" width="4.453125" style="1" customWidth="1"/>
    <col min="4098" max="4098" width="26.26953125" style="1" customWidth="1"/>
    <col min="4099" max="4099" width="8.26953125" style="1" customWidth="1"/>
    <col min="4100" max="4100" width="10.26953125" style="1" customWidth="1"/>
    <col min="4101" max="4101" width="11.1796875" style="1" customWidth="1"/>
    <col min="4102" max="4102" width="8.453125" style="1" customWidth="1"/>
    <col min="4103" max="4103" width="10.1796875" style="1" customWidth="1"/>
    <col min="4104" max="4104" width="10.54296875" style="1" customWidth="1"/>
    <col min="4105" max="4105" width="1.453125" style="1" customWidth="1"/>
    <col min="4106" max="4106" width="1.7265625" style="1" customWidth="1"/>
    <col min="4107" max="4112" width="0" style="1" hidden="1" customWidth="1"/>
    <col min="4113" max="4113" width="10.1796875" style="1" customWidth="1"/>
    <col min="4114" max="4117" width="0" style="1" hidden="1" customWidth="1"/>
    <col min="4118" max="4118" width="9.1796875" style="1" customWidth="1"/>
    <col min="4119" max="4119" width="11.90625" style="1" customWidth="1"/>
    <col min="4120" max="4120" width="1.453125" style="1" customWidth="1"/>
    <col min="4121" max="4121" width="1.7265625" style="1" customWidth="1"/>
    <col min="4122" max="4132" width="0" style="1" hidden="1" customWidth="1"/>
    <col min="4133" max="4133" width="11.1796875" style="1" customWidth="1"/>
    <col min="4134" max="4135" width="0" style="1" hidden="1" customWidth="1"/>
    <col min="4136" max="4136" width="13" style="1" customWidth="1"/>
    <col min="4137" max="4139" width="0" style="1" hidden="1" customWidth="1"/>
    <col min="4140" max="4140" width="11.453125" style="1"/>
    <col min="4141" max="4141" width="12.453125" style="1" customWidth="1"/>
    <col min="4142" max="4143" width="10.7265625" style="1" customWidth="1"/>
    <col min="4144" max="4144" width="1.81640625" style="1" customWidth="1"/>
    <col min="4145" max="4145" width="2" style="1" customWidth="1"/>
    <col min="4146" max="4168" width="0" style="1" hidden="1" customWidth="1"/>
    <col min="4169" max="4169" width="13" style="1" customWidth="1"/>
    <col min="4170" max="4171" width="12.26953125" style="1" customWidth="1"/>
    <col min="4172" max="4352" width="11.453125" style="1"/>
    <col min="4353" max="4353" width="4.453125" style="1" customWidth="1"/>
    <col min="4354" max="4354" width="26.26953125" style="1" customWidth="1"/>
    <col min="4355" max="4355" width="8.26953125" style="1" customWidth="1"/>
    <col min="4356" max="4356" width="10.26953125" style="1" customWidth="1"/>
    <col min="4357" max="4357" width="11.1796875" style="1" customWidth="1"/>
    <col min="4358" max="4358" width="8.453125" style="1" customWidth="1"/>
    <col min="4359" max="4359" width="10.1796875" style="1" customWidth="1"/>
    <col min="4360" max="4360" width="10.54296875" style="1" customWidth="1"/>
    <col min="4361" max="4361" width="1.453125" style="1" customWidth="1"/>
    <col min="4362" max="4362" width="1.7265625" style="1" customWidth="1"/>
    <col min="4363" max="4368" width="0" style="1" hidden="1" customWidth="1"/>
    <col min="4369" max="4369" width="10.1796875" style="1" customWidth="1"/>
    <col min="4370" max="4373" width="0" style="1" hidden="1" customWidth="1"/>
    <col min="4374" max="4374" width="9.1796875" style="1" customWidth="1"/>
    <col min="4375" max="4375" width="11.90625" style="1" customWidth="1"/>
    <col min="4376" max="4376" width="1.453125" style="1" customWidth="1"/>
    <col min="4377" max="4377" width="1.7265625" style="1" customWidth="1"/>
    <col min="4378" max="4388" width="0" style="1" hidden="1" customWidth="1"/>
    <col min="4389" max="4389" width="11.1796875" style="1" customWidth="1"/>
    <col min="4390" max="4391" width="0" style="1" hidden="1" customWidth="1"/>
    <col min="4392" max="4392" width="13" style="1" customWidth="1"/>
    <col min="4393" max="4395" width="0" style="1" hidden="1" customWidth="1"/>
    <col min="4396" max="4396" width="11.453125" style="1"/>
    <col min="4397" max="4397" width="12.453125" style="1" customWidth="1"/>
    <col min="4398" max="4399" width="10.7265625" style="1" customWidth="1"/>
    <col min="4400" max="4400" width="1.81640625" style="1" customWidth="1"/>
    <col min="4401" max="4401" width="2" style="1" customWidth="1"/>
    <col min="4402" max="4424" width="0" style="1" hidden="1" customWidth="1"/>
    <col min="4425" max="4425" width="13" style="1" customWidth="1"/>
    <col min="4426" max="4427" width="12.26953125" style="1" customWidth="1"/>
    <col min="4428" max="4608" width="11.453125" style="1"/>
    <col min="4609" max="4609" width="4.453125" style="1" customWidth="1"/>
    <col min="4610" max="4610" width="26.26953125" style="1" customWidth="1"/>
    <col min="4611" max="4611" width="8.26953125" style="1" customWidth="1"/>
    <col min="4612" max="4612" width="10.26953125" style="1" customWidth="1"/>
    <col min="4613" max="4613" width="11.1796875" style="1" customWidth="1"/>
    <col min="4614" max="4614" width="8.453125" style="1" customWidth="1"/>
    <col min="4615" max="4615" width="10.1796875" style="1" customWidth="1"/>
    <col min="4616" max="4616" width="10.54296875" style="1" customWidth="1"/>
    <col min="4617" max="4617" width="1.453125" style="1" customWidth="1"/>
    <col min="4618" max="4618" width="1.7265625" style="1" customWidth="1"/>
    <col min="4619" max="4624" width="0" style="1" hidden="1" customWidth="1"/>
    <col min="4625" max="4625" width="10.1796875" style="1" customWidth="1"/>
    <col min="4626" max="4629" width="0" style="1" hidden="1" customWidth="1"/>
    <col min="4630" max="4630" width="9.1796875" style="1" customWidth="1"/>
    <col min="4631" max="4631" width="11.90625" style="1" customWidth="1"/>
    <col min="4632" max="4632" width="1.453125" style="1" customWidth="1"/>
    <col min="4633" max="4633" width="1.7265625" style="1" customWidth="1"/>
    <col min="4634" max="4644" width="0" style="1" hidden="1" customWidth="1"/>
    <col min="4645" max="4645" width="11.1796875" style="1" customWidth="1"/>
    <col min="4646" max="4647" width="0" style="1" hidden="1" customWidth="1"/>
    <col min="4648" max="4648" width="13" style="1" customWidth="1"/>
    <col min="4649" max="4651" width="0" style="1" hidden="1" customWidth="1"/>
    <col min="4652" max="4652" width="11.453125" style="1"/>
    <col min="4653" max="4653" width="12.453125" style="1" customWidth="1"/>
    <col min="4654" max="4655" width="10.7265625" style="1" customWidth="1"/>
    <col min="4656" max="4656" width="1.81640625" style="1" customWidth="1"/>
    <col min="4657" max="4657" width="2" style="1" customWidth="1"/>
    <col min="4658" max="4680" width="0" style="1" hidden="1" customWidth="1"/>
    <col min="4681" max="4681" width="13" style="1" customWidth="1"/>
    <col min="4682" max="4683" width="12.26953125" style="1" customWidth="1"/>
    <col min="4684" max="4864" width="11.453125" style="1"/>
    <col min="4865" max="4865" width="4.453125" style="1" customWidth="1"/>
    <col min="4866" max="4866" width="26.26953125" style="1" customWidth="1"/>
    <col min="4867" max="4867" width="8.26953125" style="1" customWidth="1"/>
    <col min="4868" max="4868" width="10.26953125" style="1" customWidth="1"/>
    <col min="4869" max="4869" width="11.1796875" style="1" customWidth="1"/>
    <col min="4870" max="4870" width="8.453125" style="1" customWidth="1"/>
    <col min="4871" max="4871" width="10.1796875" style="1" customWidth="1"/>
    <col min="4872" max="4872" width="10.54296875" style="1" customWidth="1"/>
    <col min="4873" max="4873" width="1.453125" style="1" customWidth="1"/>
    <col min="4874" max="4874" width="1.7265625" style="1" customWidth="1"/>
    <col min="4875" max="4880" width="0" style="1" hidden="1" customWidth="1"/>
    <col min="4881" max="4881" width="10.1796875" style="1" customWidth="1"/>
    <col min="4882" max="4885" width="0" style="1" hidden="1" customWidth="1"/>
    <col min="4886" max="4886" width="9.1796875" style="1" customWidth="1"/>
    <col min="4887" max="4887" width="11.90625" style="1" customWidth="1"/>
    <col min="4888" max="4888" width="1.453125" style="1" customWidth="1"/>
    <col min="4889" max="4889" width="1.7265625" style="1" customWidth="1"/>
    <col min="4890" max="4900" width="0" style="1" hidden="1" customWidth="1"/>
    <col min="4901" max="4901" width="11.1796875" style="1" customWidth="1"/>
    <col min="4902" max="4903" width="0" style="1" hidden="1" customWidth="1"/>
    <col min="4904" max="4904" width="13" style="1" customWidth="1"/>
    <col min="4905" max="4907" width="0" style="1" hidden="1" customWidth="1"/>
    <col min="4908" max="4908" width="11.453125" style="1"/>
    <col min="4909" max="4909" width="12.453125" style="1" customWidth="1"/>
    <col min="4910" max="4911" width="10.7265625" style="1" customWidth="1"/>
    <col min="4912" max="4912" width="1.81640625" style="1" customWidth="1"/>
    <col min="4913" max="4913" width="2" style="1" customWidth="1"/>
    <col min="4914" max="4936" width="0" style="1" hidden="1" customWidth="1"/>
    <col min="4937" max="4937" width="13" style="1" customWidth="1"/>
    <col min="4938" max="4939" width="12.26953125" style="1" customWidth="1"/>
    <col min="4940" max="5120" width="11.453125" style="1"/>
    <col min="5121" max="5121" width="4.453125" style="1" customWidth="1"/>
    <col min="5122" max="5122" width="26.26953125" style="1" customWidth="1"/>
    <col min="5123" max="5123" width="8.26953125" style="1" customWidth="1"/>
    <col min="5124" max="5124" width="10.26953125" style="1" customWidth="1"/>
    <col min="5125" max="5125" width="11.1796875" style="1" customWidth="1"/>
    <col min="5126" max="5126" width="8.453125" style="1" customWidth="1"/>
    <col min="5127" max="5127" width="10.1796875" style="1" customWidth="1"/>
    <col min="5128" max="5128" width="10.54296875" style="1" customWidth="1"/>
    <col min="5129" max="5129" width="1.453125" style="1" customWidth="1"/>
    <col min="5130" max="5130" width="1.7265625" style="1" customWidth="1"/>
    <col min="5131" max="5136" width="0" style="1" hidden="1" customWidth="1"/>
    <col min="5137" max="5137" width="10.1796875" style="1" customWidth="1"/>
    <col min="5138" max="5141" width="0" style="1" hidden="1" customWidth="1"/>
    <col min="5142" max="5142" width="9.1796875" style="1" customWidth="1"/>
    <col min="5143" max="5143" width="11.90625" style="1" customWidth="1"/>
    <col min="5144" max="5144" width="1.453125" style="1" customWidth="1"/>
    <col min="5145" max="5145" width="1.7265625" style="1" customWidth="1"/>
    <col min="5146" max="5156" width="0" style="1" hidden="1" customWidth="1"/>
    <col min="5157" max="5157" width="11.1796875" style="1" customWidth="1"/>
    <col min="5158" max="5159" width="0" style="1" hidden="1" customWidth="1"/>
    <col min="5160" max="5160" width="13" style="1" customWidth="1"/>
    <col min="5161" max="5163" width="0" style="1" hidden="1" customWidth="1"/>
    <col min="5164" max="5164" width="11.453125" style="1"/>
    <col min="5165" max="5165" width="12.453125" style="1" customWidth="1"/>
    <col min="5166" max="5167" width="10.7265625" style="1" customWidth="1"/>
    <col min="5168" max="5168" width="1.81640625" style="1" customWidth="1"/>
    <col min="5169" max="5169" width="2" style="1" customWidth="1"/>
    <col min="5170" max="5192" width="0" style="1" hidden="1" customWidth="1"/>
    <col min="5193" max="5193" width="13" style="1" customWidth="1"/>
    <col min="5194" max="5195" width="12.26953125" style="1" customWidth="1"/>
    <col min="5196" max="5376" width="11.453125" style="1"/>
    <col min="5377" max="5377" width="4.453125" style="1" customWidth="1"/>
    <col min="5378" max="5378" width="26.26953125" style="1" customWidth="1"/>
    <col min="5379" max="5379" width="8.26953125" style="1" customWidth="1"/>
    <col min="5380" max="5380" width="10.26953125" style="1" customWidth="1"/>
    <col min="5381" max="5381" width="11.1796875" style="1" customWidth="1"/>
    <col min="5382" max="5382" width="8.453125" style="1" customWidth="1"/>
    <col min="5383" max="5383" width="10.1796875" style="1" customWidth="1"/>
    <col min="5384" max="5384" width="10.54296875" style="1" customWidth="1"/>
    <col min="5385" max="5385" width="1.453125" style="1" customWidth="1"/>
    <col min="5386" max="5386" width="1.7265625" style="1" customWidth="1"/>
    <col min="5387" max="5392" width="0" style="1" hidden="1" customWidth="1"/>
    <col min="5393" max="5393" width="10.1796875" style="1" customWidth="1"/>
    <col min="5394" max="5397" width="0" style="1" hidden="1" customWidth="1"/>
    <col min="5398" max="5398" width="9.1796875" style="1" customWidth="1"/>
    <col min="5399" max="5399" width="11.90625" style="1" customWidth="1"/>
    <col min="5400" max="5400" width="1.453125" style="1" customWidth="1"/>
    <col min="5401" max="5401" width="1.7265625" style="1" customWidth="1"/>
    <col min="5402" max="5412" width="0" style="1" hidden="1" customWidth="1"/>
    <col min="5413" max="5413" width="11.1796875" style="1" customWidth="1"/>
    <col min="5414" max="5415" width="0" style="1" hidden="1" customWidth="1"/>
    <col min="5416" max="5416" width="13" style="1" customWidth="1"/>
    <col min="5417" max="5419" width="0" style="1" hidden="1" customWidth="1"/>
    <col min="5420" max="5420" width="11.453125" style="1"/>
    <col min="5421" max="5421" width="12.453125" style="1" customWidth="1"/>
    <col min="5422" max="5423" width="10.7265625" style="1" customWidth="1"/>
    <col min="5424" max="5424" width="1.81640625" style="1" customWidth="1"/>
    <col min="5425" max="5425" width="2" style="1" customWidth="1"/>
    <col min="5426" max="5448" width="0" style="1" hidden="1" customWidth="1"/>
    <col min="5449" max="5449" width="13" style="1" customWidth="1"/>
    <col min="5450" max="5451" width="12.26953125" style="1" customWidth="1"/>
    <col min="5452" max="5632" width="11.453125" style="1"/>
    <col min="5633" max="5633" width="4.453125" style="1" customWidth="1"/>
    <col min="5634" max="5634" width="26.26953125" style="1" customWidth="1"/>
    <col min="5635" max="5635" width="8.26953125" style="1" customWidth="1"/>
    <col min="5636" max="5636" width="10.26953125" style="1" customWidth="1"/>
    <col min="5637" max="5637" width="11.1796875" style="1" customWidth="1"/>
    <col min="5638" max="5638" width="8.453125" style="1" customWidth="1"/>
    <col min="5639" max="5639" width="10.1796875" style="1" customWidth="1"/>
    <col min="5640" max="5640" width="10.54296875" style="1" customWidth="1"/>
    <col min="5641" max="5641" width="1.453125" style="1" customWidth="1"/>
    <col min="5642" max="5642" width="1.7265625" style="1" customWidth="1"/>
    <col min="5643" max="5648" width="0" style="1" hidden="1" customWidth="1"/>
    <col min="5649" max="5649" width="10.1796875" style="1" customWidth="1"/>
    <col min="5650" max="5653" width="0" style="1" hidden="1" customWidth="1"/>
    <col min="5654" max="5654" width="9.1796875" style="1" customWidth="1"/>
    <col min="5655" max="5655" width="11.90625" style="1" customWidth="1"/>
    <col min="5656" max="5656" width="1.453125" style="1" customWidth="1"/>
    <col min="5657" max="5657" width="1.7265625" style="1" customWidth="1"/>
    <col min="5658" max="5668" width="0" style="1" hidden="1" customWidth="1"/>
    <col min="5669" max="5669" width="11.1796875" style="1" customWidth="1"/>
    <col min="5670" max="5671" width="0" style="1" hidden="1" customWidth="1"/>
    <col min="5672" max="5672" width="13" style="1" customWidth="1"/>
    <col min="5673" max="5675" width="0" style="1" hidden="1" customWidth="1"/>
    <col min="5676" max="5676" width="11.453125" style="1"/>
    <col min="5677" max="5677" width="12.453125" style="1" customWidth="1"/>
    <col min="5678" max="5679" width="10.7265625" style="1" customWidth="1"/>
    <col min="5680" max="5680" width="1.81640625" style="1" customWidth="1"/>
    <col min="5681" max="5681" width="2" style="1" customWidth="1"/>
    <col min="5682" max="5704" width="0" style="1" hidden="1" customWidth="1"/>
    <col min="5705" max="5705" width="13" style="1" customWidth="1"/>
    <col min="5706" max="5707" width="12.26953125" style="1" customWidth="1"/>
    <col min="5708" max="5888" width="11.453125" style="1"/>
    <col min="5889" max="5889" width="4.453125" style="1" customWidth="1"/>
    <col min="5890" max="5890" width="26.26953125" style="1" customWidth="1"/>
    <col min="5891" max="5891" width="8.26953125" style="1" customWidth="1"/>
    <col min="5892" max="5892" width="10.26953125" style="1" customWidth="1"/>
    <col min="5893" max="5893" width="11.1796875" style="1" customWidth="1"/>
    <col min="5894" max="5894" width="8.453125" style="1" customWidth="1"/>
    <col min="5895" max="5895" width="10.1796875" style="1" customWidth="1"/>
    <col min="5896" max="5896" width="10.54296875" style="1" customWidth="1"/>
    <col min="5897" max="5897" width="1.453125" style="1" customWidth="1"/>
    <col min="5898" max="5898" width="1.7265625" style="1" customWidth="1"/>
    <col min="5899" max="5904" width="0" style="1" hidden="1" customWidth="1"/>
    <col min="5905" max="5905" width="10.1796875" style="1" customWidth="1"/>
    <col min="5906" max="5909" width="0" style="1" hidden="1" customWidth="1"/>
    <col min="5910" max="5910" width="9.1796875" style="1" customWidth="1"/>
    <col min="5911" max="5911" width="11.90625" style="1" customWidth="1"/>
    <col min="5912" max="5912" width="1.453125" style="1" customWidth="1"/>
    <col min="5913" max="5913" width="1.7265625" style="1" customWidth="1"/>
    <col min="5914" max="5924" width="0" style="1" hidden="1" customWidth="1"/>
    <col min="5925" max="5925" width="11.1796875" style="1" customWidth="1"/>
    <col min="5926" max="5927" width="0" style="1" hidden="1" customWidth="1"/>
    <col min="5928" max="5928" width="13" style="1" customWidth="1"/>
    <col min="5929" max="5931" width="0" style="1" hidden="1" customWidth="1"/>
    <col min="5932" max="5932" width="11.453125" style="1"/>
    <col min="5933" max="5933" width="12.453125" style="1" customWidth="1"/>
    <col min="5934" max="5935" width="10.7265625" style="1" customWidth="1"/>
    <col min="5936" max="5936" width="1.81640625" style="1" customWidth="1"/>
    <col min="5937" max="5937" width="2" style="1" customWidth="1"/>
    <col min="5938" max="5960" width="0" style="1" hidden="1" customWidth="1"/>
    <col min="5961" max="5961" width="13" style="1" customWidth="1"/>
    <col min="5962" max="5963" width="12.26953125" style="1" customWidth="1"/>
    <col min="5964" max="6144" width="11.453125" style="1"/>
    <col min="6145" max="6145" width="4.453125" style="1" customWidth="1"/>
    <col min="6146" max="6146" width="26.26953125" style="1" customWidth="1"/>
    <col min="6147" max="6147" width="8.26953125" style="1" customWidth="1"/>
    <col min="6148" max="6148" width="10.26953125" style="1" customWidth="1"/>
    <col min="6149" max="6149" width="11.1796875" style="1" customWidth="1"/>
    <col min="6150" max="6150" width="8.453125" style="1" customWidth="1"/>
    <col min="6151" max="6151" width="10.1796875" style="1" customWidth="1"/>
    <col min="6152" max="6152" width="10.54296875" style="1" customWidth="1"/>
    <col min="6153" max="6153" width="1.453125" style="1" customWidth="1"/>
    <col min="6154" max="6154" width="1.7265625" style="1" customWidth="1"/>
    <col min="6155" max="6160" width="0" style="1" hidden="1" customWidth="1"/>
    <col min="6161" max="6161" width="10.1796875" style="1" customWidth="1"/>
    <col min="6162" max="6165" width="0" style="1" hidden="1" customWidth="1"/>
    <col min="6166" max="6166" width="9.1796875" style="1" customWidth="1"/>
    <col min="6167" max="6167" width="11.90625" style="1" customWidth="1"/>
    <col min="6168" max="6168" width="1.453125" style="1" customWidth="1"/>
    <col min="6169" max="6169" width="1.7265625" style="1" customWidth="1"/>
    <col min="6170" max="6180" width="0" style="1" hidden="1" customWidth="1"/>
    <col min="6181" max="6181" width="11.1796875" style="1" customWidth="1"/>
    <col min="6182" max="6183" width="0" style="1" hidden="1" customWidth="1"/>
    <col min="6184" max="6184" width="13" style="1" customWidth="1"/>
    <col min="6185" max="6187" width="0" style="1" hidden="1" customWidth="1"/>
    <col min="6188" max="6188" width="11.453125" style="1"/>
    <col min="6189" max="6189" width="12.453125" style="1" customWidth="1"/>
    <col min="6190" max="6191" width="10.7265625" style="1" customWidth="1"/>
    <col min="6192" max="6192" width="1.81640625" style="1" customWidth="1"/>
    <col min="6193" max="6193" width="2" style="1" customWidth="1"/>
    <col min="6194" max="6216" width="0" style="1" hidden="1" customWidth="1"/>
    <col min="6217" max="6217" width="13" style="1" customWidth="1"/>
    <col min="6218" max="6219" width="12.26953125" style="1" customWidth="1"/>
    <col min="6220" max="6400" width="11.453125" style="1"/>
    <col min="6401" max="6401" width="4.453125" style="1" customWidth="1"/>
    <col min="6402" max="6402" width="26.26953125" style="1" customWidth="1"/>
    <col min="6403" max="6403" width="8.26953125" style="1" customWidth="1"/>
    <col min="6404" max="6404" width="10.26953125" style="1" customWidth="1"/>
    <col min="6405" max="6405" width="11.1796875" style="1" customWidth="1"/>
    <col min="6406" max="6406" width="8.453125" style="1" customWidth="1"/>
    <col min="6407" max="6407" width="10.1796875" style="1" customWidth="1"/>
    <col min="6408" max="6408" width="10.54296875" style="1" customWidth="1"/>
    <col min="6409" max="6409" width="1.453125" style="1" customWidth="1"/>
    <col min="6410" max="6410" width="1.7265625" style="1" customWidth="1"/>
    <col min="6411" max="6416" width="0" style="1" hidden="1" customWidth="1"/>
    <col min="6417" max="6417" width="10.1796875" style="1" customWidth="1"/>
    <col min="6418" max="6421" width="0" style="1" hidden="1" customWidth="1"/>
    <col min="6422" max="6422" width="9.1796875" style="1" customWidth="1"/>
    <col min="6423" max="6423" width="11.90625" style="1" customWidth="1"/>
    <col min="6424" max="6424" width="1.453125" style="1" customWidth="1"/>
    <col min="6425" max="6425" width="1.7265625" style="1" customWidth="1"/>
    <col min="6426" max="6436" width="0" style="1" hidden="1" customWidth="1"/>
    <col min="6437" max="6437" width="11.1796875" style="1" customWidth="1"/>
    <col min="6438" max="6439" width="0" style="1" hidden="1" customWidth="1"/>
    <col min="6440" max="6440" width="13" style="1" customWidth="1"/>
    <col min="6441" max="6443" width="0" style="1" hidden="1" customWidth="1"/>
    <col min="6444" max="6444" width="11.453125" style="1"/>
    <col min="6445" max="6445" width="12.453125" style="1" customWidth="1"/>
    <col min="6446" max="6447" width="10.7265625" style="1" customWidth="1"/>
    <col min="6448" max="6448" width="1.81640625" style="1" customWidth="1"/>
    <col min="6449" max="6449" width="2" style="1" customWidth="1"/>
    <col min="6450" max="6472" width="0" style="1" hidden="1" customWidth="1"/>
    <col min="6473" max="6473" width="13" style="1" customWidth="1"/>
    <col min="6474" max="6475" width="12.26953125" style="1" customWidth="1"/>
    <col min="6476" max="6656" width="11.453125" style="1"/>
    <col min="6657" max="6657" width="4.453125" style="1" customWidth="1"/>
    <col min="6658" max="6658" width="26.26953125" style="1" customWidth="1"/>
    <col min="6659" max="6659" width="8.26953125" style="1" customWidth="1"/>
    <col min="6660" max="6660" width="10.26953125" style="1" customWidth="1"/>
    <col min="6661" max="6661" width="11.1796875" style="1" customWidth="1"/>
    <col min="6662" max="6662" width="8.453125" style="1" customWidth="1"/>
    <col min="6663" max="6663" width="10.1796875" style="1" customWidth="1"/>
    <col min="6664" max="6664" width="10.54296875" style="1" customWidth="1"/>
    <col min="6665" max="6665" width="1.453125" style="1" customWidth="1"/>
    <col min="6666" max="6666" width="1.7265625" style="1" customWidth="1"/>
    <col min="6667" max="6672" width="0" style="1" hidden="1" customWidth="1"/>
    <col min="6673" max="6673" width="10.1796875" style="1" customWidth="1"/>
    <col min="6674" max="6677" width="0" style="1" hidden="1" customWidth="1"/>
    <col min="6678" max="6678" width="9.1796875" style="1" customWidth="1"/>
    <col min="6679" max="6679" width="11.90625" style="1" customWidth="1"/>
    <col min="6680" max="6680" width="1.453125" style="1" customWidth="1"/>
    <col min="6681" max="6681" width="1.7265625" style="1" customWidth="1"/>
    <col min="6682" max="6692" width="0" style="1" hidden="1" customWidth="1"/>
    <col min="6693" max="6693" width="11.1796875" style="1" customWidth="1"/>
    <col min="6694" max="6695" width="0" style="1" hidden="1" customWidth="1"/>
    <col min="6696" max="6696" width="13" style="1" customWidth="1"/>
    <col min="6697" max="6699" width="0" style="1" hidden="1" customWidth="1"/>
    <col min="6700" max="6700" width="11.453125" style="1"/>
    <col min="6701" max="6701" width="12.453125" style="1" customWidth="1"/>
    <col min="6702" max="6703" width="10.7265625" style="1" customWidth="1"/>
    <col min="6704" max="6704" width="1.81640625" style="1" customWidth="1"/>
    <col min="6705" max="6705" width="2" style="1" customWidth="1"/>
    <col min="6706" max="6728" width="0" style="1" hidden="1" customWidth="1"/>
    <col min="6729" max="6729" width="13" style="1" customWidth="1"/>
    <col min="6730" max="6731" width="12.26953125" style="1" customWidth="1"/>
    <col min="6732" max="6912" width="11.453125" style="1"/>
    <col min="6913" max="6913" width="4.453125" style="1" customWidth="1"/>
    <col min="6914" max="6914" width="26.26953125" style="1" customWidth="1"/>
    <col min="6915" max="6915" width="8.26953125" style="1" customWidth="1"/>
    <col min="6916" max="6916" width="10.26953125" style="1" customWidth="1"/>
    <col min="6917" max="6917" width="11.1796875" style="1" customWidth="1"/>
    <col min="6918" max="6918" width="8.453125" style="1" customWidth="1"/>
    <col min="6919" max="6919" width="10.1796875" style="1" customWidth="1"/>
    <col min="6920" max="6920" width="10.54296875" style="1" customWidth="1"/>
    <col min="6921" max="6921" width="1.453125" style="1" customWidth="1"/>
    <col min="6922" max="6922" width="1.7265625" style="1" customWidth="1"/>
    <col min="6923" max="6928" width="0" style="1" hidden="1" customWidth="1"/>
    <col min="6929" max="6929" width="10.1796875" style="1" customWidth="1"/>
    <col min="6930" max="6933" width="0" style="1" hidden="1" customWidth="1"/>
    <col min="6934" max="6934" width="9.1796875" style="1" customWidth="1"/>
    <col min="6935" max="6935" width="11.90625" style="1" customWidth="1"/>
    <col min="6936" max="6936" width="1.453125" style="1" customWidth="1"/>
    <col min="6937" max="6937" width="1.7265625" style="1" customWidth="1"/>
    <col min="6938" max="6948" width="0" style="1" hidden="1" customWidth="1"/>
    <col min="6949" max="6949" width="11.1796875" style="1" customWidth="1"/>
    <col min="6950" max="6951" width="0" style="1" hidden="1" customWidth="1"/>
    <col min="6952" max="6952" width="13" style="1" customWidth="1"/>
    <col min="6953" max="6955" width="0" style="1" hidden="1" customWidth="1"/>
    <col min="6956" max="6956" width="11.453125" style="1"/>
    <col min="6957" max="6957" width="12.453125" style="1" customWidth="1"/>
    <col min="6958" max="6959" width="10.7265625" style="1" customWidth="1"/>
    <col min="6960" max="6960" width="1.81640625" style="1" customWidth="1"/>
    <col min="6961" max="6961" width="2" style="1" customWidth="1"/>
    <col min="6962" max="6984" width="0" style="1" hidden="1" customWidth="1"/>
    <col min="6985" max="6985" width="13" style="1" customWidth="1"/>
    <col min="6986" max="6987" width="12.26953125" style="1" customWidth="1"/>
    <col min="6988" max="7168" width="11.453125" style="1"/>
    <col min="7169" max="7169" width="4.453125" style="1" customWidth="1"/>
    <col min="7170" max="7170" width="26.26953125" style="1" customWidth="1"/>
    <col min="7171" max="7171" width="8.26953125" style="1" customWidth="1"/>
    <col min="7172" max="7172" width="10.26953125" style="1" customWidth="1"/>
    <col min="7173" max="7173" width="11.1796875" style="1" customWidth="1"/>
    <col min="7174" max="7174" width="8.453125" style="1" customWidth="1"/>
    <col min="7175" max="7175" width="10.1796875" style="1" customWidth="1"/>
    <col min="7176" max="7176" width="10.54296875" style="1" customWidth="1"/>
    <col min="7177" max="7177" width="1.453125" style="1" customWidth="1"/>
    <col min="7178" max="7178" width="1.7265625" style="1" customWidth="1"/>
    <col min="7179" max="7184" width="0" style="1" hidden="1" customWidth="1"/>
    <col min="7185" max="7185" width="10.1796875" style="1" customWidth="1"/>
    <col min="7186" max="7189" width="0" style="1" hidden="1" customWidth="1"/>
    <col min="7190" max="7190" width="9.1796875" style="1" customWidth="1"/>
    <col min="7191" max="7191" width="11.90625" style="1" customWidth="1"/>
    <col min="7192" max="7192" width="1.453125" style="1" customWidth="1"/>
    <col min="7193" max="7193" width="1.7265625" style="1" customWidth="1"/>
    <col min="7194" max="7204" width="0" style="1" hidden="1" customWidth="1"/>
    <col min="7205" max="7205" width="11.1796875" style="1" customWidth="1"/>
    <col min="7206" max="7207" width="0" style="1" hidden="1" customWidth="1"/>
    <col min="7208" max="7208" width="13" style="1" customWidth="1"/>
    <col min="7209" max="7211" width="0" style="1" hidden="1" customWidth="1"/>
    <col min="7212" max="7212" width="11.453125" style="1"/>
    <col min="7213" max="7213" width="12.453125" style="1" customWidth="1"/>
    <col min="7214" max="7215" width="10.7265625" style="1" customWidth="1"/>
    <col min="7216" max="7216" width="1.81640625" style="1" customWidth="1"/>
    <col min="7217" max="7217" width="2" style="1" customWidth="1"/>
    <col min="7218" max="7240" width="0" style="1" hidden="1" customWidth="1"/>
    <col min="7241" max="7241" width="13" style="1" customWidth="1"/>
    <col min="7242" max="7243" width="12.26953125" style="1" customWidth="1"/>
    <col min="7244" max="7424" width="11.453125" style="1"/>
    <col min="7425" max="7425" width="4.453125" style="1" customWidth="1"/>
    <col min="7426" max="7426" width="26.26953125" style="1" customWidth="1"/>
    <col min="7427" max="7427" width="8.26953125" style="1" customWidth="1"/>
    <col min="7428" max="7428" width="10.26953125" style="1" customWidth="1"/>
    <col min="7429" max="7429" width="11.1796875" style="1" customWidth="1"/>
    <col min="7430" max="7430" width="8.453125" style="1" customWidth="1"/>
    <col min="7431" max="7431" width="10.1796875" style="1" customWidth="1"/>
    <col min="7432" max="7432" width="10.54296875" style="1" customWidth="1"/>
    <col min="7433" max="7433" width="1.453125" style="1" customWidth="1"/>
    <col min="7434" max="7434" width="1.7265625" style="1" customWidth="1"/>
    <col min="7435" max="7440" width="0" style="1" hidden="1" customWidth="1"/>
    <col min="7441" max="7441" width="10.1796875" style="1" customWidth="1"/>
    <col min="7442" max="7445" width="0" style="1" hidden="1" customWidth="1"/>
    <col min="7446" max="7446" width="9.1796875" style="1" customWidth="1"/>
    <col min="7447" max="7447" width="11.90625" style="1" customWidth="1"/>
    <col min="7448" max="7448" width="1.453125" style="1" customWidth="1"/>
    <col min="7449" max="7449" width="1.7265625" style="1" customWidth="1"/>
    <col min="7450" max="7460" width="0" style="1" hidden="1" customWidth="1"/>
    <col min="7461" max="7461" width="11.1796875" style="1" customWidth="1"/>
    <col min="7462" max="7463" width="0" style="1" hidden="1" customWidth="1"/>
    <col min="7464" max="7464" width="13" style="1" customWidth="1"/>
    <col min="7465" max="7467" width="0" style="1" hidden="1" customWidth="1"/>
    <col min="7468" max="7468" width="11.453125" style="1"/>
    <col min="7469" max="7469" width="12.453125" style="1" customWidth="1"/>
    <col min="7470" max="7471" width="10.7265625" style="1" customWidth="1"/>
    <col min="7472" max="7472" width="1.81640625" style="1" customWidth="1"/>
    <col min="7473" max="7473" width="2" style="1" customWidth="1"/>
    <col min="7474" max="7496" width="0" style="1" hidden="1" customWidth="1"/>
    <col min="7497" max="7497" width="13" style="1" customWidth="1"/>
    <col min="7498" max="7499" width="12.26953125" style="1" customWidth="1"/>
    <col min="7500" max="7680" width="11.453125" style="1"/>
    <col min="7681" max="7681" width="4.453125" style="1" customWidth="1"/>
    <col min="7682" max="7682" width="26.26953125" style="1" customWidth="1"/>
    <col min="7683" max="7683" width="8.26953125" style="1" customWidth="1"/>
    <col min="7684" max="7684" width="10.26953125" style="1" customWidth="1"/>
    <col min="7685" max="7685" width="11.1796875" style="1" customWidth="1"/>
    <col min="7686" max="7686" width="8.453125" style="1" customWidth="1"/>
    <col min="7687" max="7687" width="10.1796875" style="1" customWidth="1"/>
    <col min="7688" max="7688" width="10.54296875" style="1" customWidth="1"/>
    <col min="7689" max="7689" width="1.453125" style="1" customWidth="1"/>
    <col min="7690" max="7690" width="1.7265625" style="1" customWidth="1"/>
    <col min="7691" max="7696" width="0" style="1" hidden="1" customWidth="1"/>
    <col min="7697" max="7697" width="10.1796875" style="1" customWidth="1"/>
    <col min="7698" max="7701" width="0" style="1" hidden="1" customWidth="1"/>
    <col min="7702" max="7702" width="9.1796875" style="1" customWidth="1"/>
    <col min="7703" max="7703" width="11.90625" style="1" customWidth="1"/>
    <col min="7704" max="7704" width="1.453125" style="1" customWidth="1"/>
    <col min="7705" max="7705" width="1.7265625" style="1" customWidth="1"/>
    <col min="7706" max="7716" width="0" style="1" hidden="1" customWidth="1"/>
    <col min="7717" max="7717" width="11.1796875" style="1" customWidth="1"/>
    <col min="7718" max="7719" width="0" style="1" hidden="1" customWidth="1"/>
    <col min="7720" max="7720" width="13" style="1" customWidth="1"/>
    <col min="7721" max="7723" width="0" style="1" hidden="1" customWidth="1"/>
    <col min="7724" max="7724" width="11.453125" style="1"/>
    <col min="7725" max="7725" width="12.453125" style="1" customWidth="1"/>
    <col min="7726" max="7727" width="10.7265625" style="1" customWidth="1"/>
    <col min="7728" max="7728" width="1.81640625" style="1" customWidth="1"/>
    <col min="7729" max="7729" width="2" style="1" customWidth="1"/>
    <col min="7730" max="7752" width="0" style="1" hidden="1" customWidth="1"/>
    <col min="7753" max="7753" width="13" style="1" customWidth="1"/>
    <col min="7754" max="7755" width="12.26953125" style="1" customWidth="1"/>
    <col min="7756" max="7936" width="11.453125" style="1"/>
    <col min="7937" max="7937" width="4.453125" style="1" customWidth="1"/>
    <col min="7938" max="7938" width="26.26953125" style="1" customWidth="1"/>
    <col min="7939" max="7939" width="8.26953125" style="1" customWidth="1"/>
    <col min="7940" max="7940" width="10.26953125" style="1" customWidth="1"/>
    <col min="7941" max="7941" width="11.1796875" style="1" customWidth="1"/>
    <col min="7942" max="7942" width="8.453125" style="1" customWidth="1"/>
    <col min="7943" max="7943" width="10.1796875" style="1" customWidth="1"/>
    <col min="7944" max="7944" width="10.54296875" style="1" customWidth="1"/>
    <col min="7945" max="7945" width="1.453125" style="1" customWidth="1"/>
    <col min="7946" max="7946" width="1.7265625" style="1" customWidth="1"/>
    <col min="7947" max="7952" width="0" style="1" hidden="1" customWidth="1"/>
    <col min="7953" max="7953" width="10.1796875" style="1" customWidth="1"/>
    <col min="7954" max="7957" width="0" style="1" hidden="1" customWidth="1"/>
    <col min="7958" max="7958" width="9.1796875" style="1" customWidth="1"/>
    <col min="7959" max="7959" width="11.90625" style="1" customWidth="1"/>
    <col min="7960" max="7960" width="1.453125" style="1" customWidth="1"/>
    <col min="7961" max="7961" width="1.7265625" style="1" customWidth="1"/>
    <col min="7962" max="7972" width="0" style="1" hidden="1" customWidth="1"/>
    <col min="7973" max="7973" width="11.1796875" style="1" customWidth="1"/>
    <col min="7974" max="7975" width="0" style="1" hidden="1" customWidth="1"/>
    <col min="7976" max="7976" width="13" style="1" customWidth="1"/>
    <col min="7977" max="7979" width="0" style="1" hidden="1" customWidth="1"/>
    <col min="7980" max="7980" width="11.453125" style="1"/>
    <col min="7981" max="7981" width="12.453125" style="1" customWidth="1"/>
    <col min="7982" max="7983" width="10.7265625" style="1" customWidth="1"/>
    <col min="7984" max="7984" width="1.81640625" style="1" customWidth="1"/>
    <col min="7985" max="7985" width="2" style="1" customWidth="1"/>
    <col min="7986" max="8008" width="0" style="1" hidden="1" customWidth="1"/>
    <col min="8009" max="8009" width="13" style="1" customWidth="1"/>
    <col min="8010" max="8011" width="12.26953125" style="1" customWidth="1"/>
    <col min="8012" max="8192" width="11.453125" style="1"/>
    <col min="8193" max="8193" width="4.453125" style="1" customWidth="1"/>
    <col min="8194" max="8194" width="26.26953125" style="1" customWidth="1"/>
    <col min="8195" max="8195" width="8.26953125" style="1" customWidth="1"/>
    <col min="8196" max="8196" width="10.26953125" style="1" customWidth="1"/>
    <col min="8197" max="8197" width="11.1796875" style="1" customWidth="1"/>
    <col min="8198" max="8198" width="8.453125" style="1" customWidth="1"/>
    <col min="8199" max="8199" width="10.1796875" style="1" customWidth="1"/>
    <col min="8200" max="8200" width="10.54296875" style="1" customWidth="1"/>
    <col min="8201" max="8201" width="1.453125" style="1" customWidth="1"/>
    <col min="8202" max="8202" width="1.7265625" style="1" customWidth="1"/>
    <col min="8203" max="8208" width="0" style="1" hidden="1" customWidth="1"/>
    <col min="8209" max="8209" width="10.1796875" style="1" customWidth="1"/>
    <col min="8210" max="8213" width="0" style="1" hidden="1" customWidth="1"/>
    <col min="8214" max="8214" width="9.1796875" style="1" customWidth="1"/>
    <col min="8215" max="8215" width="11.90625" style="1" customWidth="1"/>
    <col min="8216" max="8216" width="1.453125" style="1" customWidth="1"/>
    <col min="8217" max="8217" width="1.7265625" style="1" customWidth="1"/>
    <col min="8218" max="8228" width="0" style="1" hidden="1" customWidth="1"/>
    <col min="8229" max="8229" width="11.1796875" style="1" customWidth="1"/>
    <col min="8230" max="8231" width="0" style="1" hidden="1" customWidth="1"/>
    <col min="8232" max="8232" width="13" style="1" customWidth="1"/>
    <col min="8233" max="8235" width="0" style="1" hidden="1" customWidth="1"/>
    <col min="8236" max="8236" width="11.453125" style="1"/>
    <col min="8237" max="8237" width="12.453125" style="1" customWidth="1"/>
    <col min="8238" max="8239" width="10.7265625" style="1" customWidth="1"/>
    <col min="8240" max="8240" width="1.81640625" style="1" customWidth="1"/>
    <col min="8241" max="8241" width="2" style="1" customWidth="1"/>
    <col min="8242" max="8264" width="0" style="1" hidden="1" customWidth="1"/>
    <col min="8265" max="8265" width="13" style="1" customWidth="1"/>
    <col min="8266" max="8267" width="12.26953125" style="1" customWidth="1"/>
    <col min="8268" max="8448" width="11.453125" style="1"/>
    <col min="8449" max="8449" width="4.453125" style="1" customWidth="1"/>
    <col min="8450" max="8450" width="26.26953125" style="1" customWidth="1"/>
    <col min="8451" max="8451" width="8.26953125" style="1" customWidth="1"/>
    <col min="8452" max="8452" width="10.26953125" style="1" customWidth="1"/>
    <col min="8453" max="8453" width="11.1796875" style="1" customWidth="1"/>
    <col min="8454" max="8454" width="8.453125" style="1" customWidth="1"/>
    <col min="8455" max="8455" width="10.1796875" style="1" customWidth="1"/>
    <col min="8456" max="8456" width="10.54296875" style="1" customWidth="1"/>
    <col min="8457" max="8457" width="1.453125" style="1" customWidth="1"/>
    <col min="8458" max="8458" width="1.7265625" style="1" customWidth="1"/>
    <col min="8459" max="8464" width="0" style="1" hidden="1" customWidth="1"/>
    <col min="8465" max="8465" width="10.1796875" style="1" customWidth="1"/>
    <col min="8466" max="8469" width="0" style="1" hidden="1" customWidth="1"/>
    <col min="8470" max="8470" width="9.1796875" style="1" customWidth="1"/>
    <col min="8471" max="8471" width="11.90625" style="1" customWidth="1"/>
    <col min="8472" max="8472" width="1.453125" style="1" customWidth="1"/>
    <col min="8473" max="8473" width="1.7265625" style="1" customWidth="1"/>
    <col min="8474" max="8484" width="0" style="1" hidden="1" customWidth="1"/>
    <col min="8485" max="8485" width="11.1796875" style="1" customWidth="1"/>
    <col min="8486" max="8487" width="0" style="1" hidden="1" customWidth="1"/>
    <col min="8488" max="8488" width="13" style="1" customWidth="1"/>
    <col min="8489" max="8491" width="0" style="1" hidden="1" customWidth="1"/>
    <col min="8492" max="8492" width="11.453125" style="1"/>
    <col min="8493" max="8493" width="12.453125" style="1" customWidth="1"/>
    <col min="8494" max="8495" width="10.7265625" style="1" customWidth="1"/>
    <col min="8496" max="8496" width="1.81640625" style="1" customWidth="1"/>
    <col min="8497" max="8497" width="2" style="1" customWidth="1"/>
    <col min="8498" max="8520" width="0" style="1" hidden="1" customWidth="1"/>
    <col min="8521" max="8521" width="13" style="1" customWidth="1"/>
    <col min="8522" max="8523" width="12.26953125" style="1" customWidth="1"/>
    <col min="8524" max="8704" width="11.453125" style="1"/>
    <col min="8705" max="8705" width="4.453125" style="1" customWidth="1"/>
    <col min="8706" max="8706" width="26.26953125" style="1" customWidth="1"/>
    <col min="8707" max="8707" width="8.26953125" style="1" customWidth="1"/>
    <col min="8708" max="8708" width="10.26953125" style="1" customWidth="1"/>
    <col min="8709" max="8709" width="11.1796875" style="1" customWidth="1"/>
    <col min="8710" max="8710" width="8.453125" style="1" customWidth="1"/>
    <col min="8711" max="8711" width="10.1796875" style="1" customWidth="1"/>
    <col min="8712" max="8712" width="10.54296875" style="1" customWidth="1"/>
    <col min="8713" max="8713" width="1.453125" style="1" customWidth="1"/>
    <col min="8714" max="8714" width="1.7265625" style="1" customWidth="1"/>
    <col min="8715" max="8720" width="0" style="1" hidden="1" customWidth="1"/>
    <col min="8721" max="8721" width="10.1796875" style="1" customWidth="1"/>
    <col min="8722" max="8725" width="0" style="1" hidden="1" customWidth="1"/>
    <col min="8726" max="8726" width="9.1796875" style="1" customWidth="1"/>
    <col min="8727" max="8727" width="11.90625" style="1" customWidth="1"/>
    <col min="8728" max="8728" width="1.453125" style="1" customWidth="1"/>
    <col min="8729" max="8729" width="1.7265625" style="1" customWidth="1"/>
    <col min="8730" max="8740" width="0" style="1" hidden="1" customWidth="1"/>
    <col min="8741" max="8741" width="11.1796875" style="1" customWidth="1"/>
    <col min="8742" max="8743" width="0" style="1" hidden="1" customWidth="1"/>
    <col min="8744" max="8744" width="13" style="1" customWidth="1"/>
    <col min="8745" max="8747" width="0" style="1" hidden="1" customWidth="1"/>
    <col min="8748" max="8748" width="11.453125" style="1"/>
    <col min="8749" max="8749" width="12.453125" style="1" customWidth="1"/>
    <col min="8750" max="8751" width="10.7265625" style="1" customWidth="1"/>
    <col min="8752" max="8752" width="1.81640625" style="1" customWidth="1"/>
    <col min="8753" max="8753" width="2" style="1" customWidth="1"/>
    <col min="8754" max="8776" width="0" style="1" hidden="1" customWidth="1"/>
    <col min="8777" max="8777" width="13" style="1" customWidth="1"/>
    <col min="8778" max="8779" width="12.26953125" style="1" customWidth="1"/>
    <col min="8780" max="8960" width="11.453125" style="1"/>
    <col min="8961" max="8961" width="4.453125" style="1" customWidth="1"/>
    <col min="8962" max="8962" width="26.26953125" style="1" customWidth="1"/>
    <col min="8963" max="8963" width="8.26953125" style="1" customWidth="1"/>
    <col min="8964" max="8964" width="10.26953125" style="1" customWidth="1"/>
    <col min="8965" max="8965" width="11.1796875" style="1" customWidth="1"/>
    <col min="8966" max="8966" width="8.453125" style="1" customWidth="1"/>
    <col min="8967" max="8967" width="10.1796875" style="1" customWidth="1"/>
    <col min="8968" max="8968" width="10.54296875" style="1" customWidth="1"/>
    <col min="8969" max="8969" width="1.453125" style="1" customWidth="1"/>
    <col min="8970" max="8970" width="1.7265625" style="1" customWidth="1"/>
    <col min="8971" max="8976" width="0" style="1" hidden="1" customWidth="1"/>
    <col min="8977" max="8977" width="10.1796875" style="1" customWidth="1"/>
    <col min="8978" max="8981" width="0" style="1" hidden="1" customWidth="1"/>
    <col min="8982" max="8982" width="9.1796875" style="1" customWidth="1"/>
    <col min="8983" max="8983" width="11.90625" style="1" customWidth="1"/>
    <col min="8984" max="8984" width="1.453125" style="1" customWidth="1"/>
    <col min="8985" max="8985" width="1.7265625" style="1" customWidth="1"/>
    <col min="8986" max="8996" width="0" style="1" hidden="1" customWidth="1"/>
    <col min="8997" max="8997" width="11.1796875" style="1" customWidth="1"/>
    <col min="8998" max="8999" width="0" style="1" hidden="1" customWidth="1"/>
    <col min="9000" max="9000" width="13" style="1" customWidth="1"/>
    <col min="9001" max="9003" width="0" style="1" hidden="1" customWidth="1"/>
    <col min="9004" max="9004" width="11.453125" style="1"/>
    <col min="9005" max="9005" width="12.453125" style="1" customWidth="1"/>
    <col min="9006" max="9007" width="10.7265625" style="1" customWidth="1"/>
    <col min="9008" max="9008" width="1.81640625" style="1" customWidth="1"/>
    <col min="9009" max="9009" width="2" style="1" customWidth="1"/>
    <col min="9010" max="9032" width="0" style="1" hidden="1" customWidth="1"/>
    <col min="9033" max="9033" width="13" style="1" customWidth="1"/>
    <col min="9034" max="9035" width="12.26953125" style="1" customWidth="1"/>
    <col min="9036" max="9216" width="11.453125" style="1"/>
    <col min="9217" max="9217" width="4.453125" style="1" customWidth="1"/>
    <col min="9218" max="9218" width="26.26953125" style="1" customWidth="1"/>
    <col min="9219" max="9219" width="8.26953125" style="1" customWidth="1"/>
    <col min="9220" max="9220" width="10.26953125" style="1" customWidth="1"/>
    <col min="9221" max="9221" width="11.1796875" style="1" customWidth="1"/>
    <col min="9222" max="9222" width="8.453125" style="1" customWidth="1"/>
    <col min="9223" max="9223" width="10.1796875" style="1" customWidth="1"/>
    <col min="9224" max="9224" width="10.54296875" style="1" customWidth="1"/>
    <col min="9225" max="9225" width="1.453125" style="1" customWidth="1"/>
    <col min="9226" max="9226" width="1.7265625" style="1" customWidth="1"/>
    <col min="9227" max="9232" width="0" style="1" hidden="1" customWidth="1"/>
    <col min="9233" max="9233" width="10.1796875" style="1" customWidth="1"/>
    <col min="9234" max="9237" width="0" style="1" hidden="1" customWidth="1"/>
    <col min="9238" max="9238" width="9.1796875" style="1" customWidth="1"/>
    <col min="9239" max="9239" width="11.90625" style="1" customWidth="1"/>
    <col min="9240" max="9240" width="1.453125" style="1" customWidth="1"/>
    <col min="9241" max="9241" width="1.7265625" style="1" customWidth="1"/>
    <col min="9242" max="9252" width="0" style="1" hidden="1" customWidth="1"/>
    <col min="9253" max="9253" width="11.1796875" style="1" customWidth="1"/>
    <col min="9254" max="9255" width="0" style="1" hidden="1" customWidth="1"/>
    <col min="9256" max="9256" width="13" style="1" customWidth="1"/>
    <col min="9257" max="9259" width="0" style="1" hidden="1" customWidth="1"/>
    <col min="9260" max="9260" width="11.453125" style="1"/>
    <col min="9261" max="9261" width="12.453125" style="1" customWidth="1"/>
    <col min="9262" max="9263" width="10.7265625" style="1" customWidth="1"/>
    <col min="9264" max="9264" width="1.81640625" style="1" customWidth="1"/>
    <col min="9265" max="9265" width="2" style="1" customWidth="1"/>
    <col min="9266" max="9288" width="0" style="1" hidden="1" customWidth="1"/>
    <col min="9289" max="9289" width="13" style="1" customWidth="1"/>
    <col min="9290" max="9291" width="12.26953125" style="1" customWidth="1"/>
    <col min="9292" max="9472" width="11.453125" style="1"/>
    <col min="9473" max="9473" width="4.453125" style="1" customWidth="1"/>
    <col min="9474" max="9474" width="26.26953125" style="1" customWidth="1"/>
    <col min="9475" max="9475" width="8.26953125" style="1" customWidth="1"/>
    <col min="9476" max="9476" width="10.26953125" style="1" customWidth="1"/>
    <col min="9477" max="9477" width="11.1796875" style="1" customWidth="1"/>
    <col min="9478" max="9478" width="8.453125" style="1" customWidth="1"/>
    <col min="9479" max="9479" width="10.1796875" style="1" customWidth="1"/>
    <col min="9480" max="9480" width="10.54296875" style="1" customWidth="1"/>
    <col min="9481" max="9481" width="1.453125" style="1" customWidth="1"/>
    <col min="9482" max="9482" width="1.7265625" style="1" customWidth="1"/>
    <col min="9483" max="9488" width="0" style="1" hidden="1" customWidth="1"/>
    <col min="9489" max="9489" width="10.1796875" style="1" customWidth="1"/>
    <col min="9490" max="9493" width="0" style="1" hidden="1" customWidth="1"/>
    <col min="9494" max="9494" width="9.1796875" style="1" customWidth="1"/>
    <col min="9495" max="9495" width="11.90625" style="1" customWidth="1"/>
    <col min="9496" max="9496" width="1.453125" style="1" customWidth="1"/>
    <col min="9497" max="9497" width="1.7265625" style="1" customWidth="1"/>
    <col min="9498" max="9508" width="0" style="1" hidden="1" customWidth="1"/>
    <col min="9509" max="9509" width="11.1796875" style="1" customWidth="1"/>
    <col min="9510" max="9511" width="0" style="1" hidden="1" customWidth="1"/>
    <col min="9512" max="9512" width="13" style="1" customWidth="1"/>
    <col min="9513" max="9515" width="0" style="1" hidden="1" customWidth="1"/>
    <col min="9516" max="9516" width="11.453125" style="1"/>
    <col min="9517" max="9517" width="12.453125" style="1" customWidth="1"/>
    <col min="9518" max="9519" width="10.7265625" style="1" customWidth="1"/>
    <col min="9520" max="9520" width="1.81640625" style="1" customWidth="1"/>
    <col min="9521" max="9521" width="2" style="1" customWidth="1"/>
    <col min="9522" max="9544" width="0" style="1" hidden="1" customWidth="1"/>
    <col min="9545" max="9545" width="13" style="1" customWidth="1"/>
    <col min="9546" max="9547" width="12.26953125" style="1" customWidth="1"/>
    <col min="9548" max="9728" width="11.453125" style="1"/>
    <col min="9729" max="9729" width="4.453125" style="1" customWidth="1"/>
    <col min="9730" max="9730" width="26.26953125" style="1" customWidth="1"/>
    <col min="9731" max="9731" width="8.26953125" style="1" customWidth="1"/>
    <col min="9732" max="9732" width="10.26953125" style="1" customWidth="1"/>
    <col min="9733" max="9733" width="11.1796875" style="1" customWidth="1"/>
    <col min="9734" max="9734" width="8.453125" style="1" customWidth="1"/>
    <col min="9735" max="9735" width="10.1796875" style="1" customWidth="1"/>
    <col min="9736" max="9736" width="10.54296875" style="1" customWidth="1"/>
    <col min="9737" max="9737" width="1.453125" style="1" customWidth="1"/>
    <col min="9738" max="9738" width="1.7265625" style="1" customWidth="1"/>
    <col min="9739" max="9744" width="0" style="1" hidden="1" customWidth="1"/>
    <col min="9745" max="9745" width="10.1796875" style="1" customWidth="1"/>
    <col min="9746" max="9749" width="0" style="1" hidden="1" customWidth="1"/>
    <col min="9750" max="9750" width="9.1796875" style="1" customWidth="1"/>
    <col min="9751" max="9751" width="11.90625" style="1" customWidth="1"/>
    <col min="9752" max="9752" width="1.453125" style="1" customWidth="1"/>
    <col min="9753" max="9753" width="1.7265625" style="1" customWidth="1"/>
    <col min="9754" max="9764" width="0" style="1" hidden="1" customWidth="1"/>
    <col min="9765" max="9765" width="11.1796875" style="1" customWidth="1"/>
    <col min="9766" max="9767" width="0" style="1" hidden="1" customWidth="1"/>
    <col min="9768" max="9768" width="13" style="1" customWidth="1"/>
    <col min="9769" max="9771" width="0" style="1" hidden="1" customWidth="1"/>
    <col min="9772" max="9772" width="11.453125" style="1"/>
    <col min="9773" max="9773" width="12.453125" style="1" customWidth="1"/>
    <col min="9774" max="9775" width="10.7265625" style="1" customWidth="1"/>
    <col min="9776" max="9776" width="1.81640625" style="1" customWidth="1"/>
    <col min="9777" max="9777" width="2" style="1" customWidth="1"/>
    <col min="9778" max="9800" width="0" style="1" hidden="1" customWidth="1"/>
    <col min="9801" max="9801" width="13" style="1" customWidth="1"/>
    <col min="9802" max="9803" width="12.26953125" style="1" customWidth="1"/>
    <col min="9804" max="9984" width="11.453125" style="1"/>
    <col min="9985" max="9985" width="4.453125" style="1" customWidth="1"/>
    <col min="9986" max="9986" width="26.26953125" style="1" customWidth="1"/>
    <col min="9987" max="9987" width="8.26953125" style="1" customWidth="1"/>
    <col min="9988" max="9988" width="10.26953125" style="1" customWidth="1"/>
    <col min="9989" max="9989" width="11.1796875" style="1" customWidth="1"/>
    <col min="9990" max="9990" width="8.453125" style="1" customWidth="1"/>
    <col min="9991" max="9991" width="10.1796875" style="1" customWidth="1"/>
    <col min="9992" max="9992" width="10.54296875" style="1" customWidth="1"/>
    <col min="9993" max="9993" width="1.453125" style="1" customWidth="1"/>
    <col min="9994" max="9994" width="1.7265625" style="1" customWidth="1"/>
    <col min="9995" max="10000" width="0" style="1" hidden="1" customWidth="1"/>
    <col min="10001" max="10001" width="10.1796875" style="1" customWidth="1"/>
    <col min="10002" max="10005" width="0" style="1" hidden="1" customWidth="1"/>
    <col min="10006" max="10006" width="9.1796875" style="1" customWidth="1"/>
    <col min="10007" max="10007" width="11.90625" style="1" customWidth="1"/>
    <col min="10008" max="10008" width="1.453125" style="1" customWidth="1"/>
    <col min="10009" max="10009" width="1.7265625" style="1" customWidth="1"/>
    <col min="10010" max="10020" width="0" style="1" hidden="1" customWidth="1"/>
    <col min="10021" max="10021" width="11.1796875" style="1" customWidth="1"/>
    <col min="10022" max="10023" width="0" style="1" hidden="1" customWidth="1"/>
    <col min="10024" max="10024" width="13" style="1" customWidth="1"/>
    <col min="10025" max="10027" width="0" style="1" hidden="1" customWidth="1"/>
    <col min="10028" max="10028" width="11.453125" style="1"/>
    <col min="10029" max="10029" width="12.453125" style="1" customWidth="1"/>
    <col min="10030" max="10031" width="10.7265625" style="1" customWidth="1"/>
    <col min="10032" max="10032" width="1.81640625" style="1" customWidth="1"/>
    <col min="10033" max="10033" width="2" style="1" customWidth="1"/>
    <col min="10034" max="10056" width="0" style="1" hidden="1" customWidth="1"/>
    <col min="10057" max="10057" width="13" style="1" customWidth="1"/>
    <col min="10058" max="10059" width="12.26953125" style="1" customWidth="1"/>
    <col min="10060" max="10240" width="11.453125" style="1"/>
    <col min="10241" max="10241" width="4.453125" style="1" customWidth="1"/>
    <col min="10242" max="10242" width="26.26953125" style="1" customWidth="1"/>
    <col min="10243" max="10243" width="8.26953125" style="1" customWidth="1"/>
    <col min="10244" max="10244" width="10.26953125" style="1" customWidth="1"/>
    <col min="10245" max="10245" width="11.1796875" style="1" customWidth="1"/>
    <col min="10246" max="10246" width="8.453125" style="1" customWidth="1"/>
    <col min="10247" max="10247" width="10.1796875" style="1" customWidth="1"/>
    <col min="10248" max="10248" width="10.54296875" style="1" customWidth="1"/>
    <col min="10249" max="10249" width="1.453125" style="1" customWidth="1"/>
    <col min="10250" max="10250" width="1.7265625" style="1" customWidth="1"/>
    <col min="10251" max="10256" width="0" style="1" hidden="1" customWidth="1"/>
    <col min="10257" max="10257" width="10.1796875" style="1" customWidth="1"/>
    <col min="10258" max="10261" width="0" style="1" hidden="1" customWidth="1"/>
    <col min="10262" max="10262" width="9.1796875" style="1" customWidth="1"/>
    <col min="10263" max="10263" width="11.90625" style="1" customWidth="1"/>
    <col min="10264" max="10264" width="1.453125" style="1" customWidth="1"/>
    <col min="10265" max="10265" width="1.7265625" style="1" customWidth="1"/>
    <col min="10266" max="10276" width="0" style="1" hidden="1" customWidth="1"/>
    <col min="10277" max="10277" width="11.1796875" style="1" customWidth="1"/>
    <col min="10278" max="10279" width="0" style="1" hidden="1" customWidth="1"/>
    <col min="10280" max="10280" width="13" style="1" customWidth="1"/>
    <col min="10281" max="10283" width="0" style="1" hidden="1" customWidth="1"/>
    <col min="10284" max="10284" width="11.453125" style="1"/>
    <col min="10285" max="10285" width="12.453125" style="1" customWidth="1"/>
    <col min="10286" max="10287" width="10.7265625" style="1" customWidth="1"/>
    <col min="10288" max="10288" width="1.81640625" style="1" customWidth="1"/>
    <col min="10289" max="10289" width="2" style="1" customWidth="1"/>
    <col min="10290" max="10312" width="0" style="1" hidden="1" customWidth="1"/>
    <col min="10313" max="10313" width="13" style="1" customWidth="1"/>
    <col min="10314" max="10315" width="12.26953125" style="1" customWidth="1"/>
    <col min="10316" max="10496" width="11.453125" style="1"/>
    <col min="10497" max="10497" width="4.453125" style="1" customWidth="1"/>
    <col min="10498" max="10498" width="26.26953125" style="1" customWidth="1"/>
    <col min="10499" max="10499" width="8.26953125" style="1" customWidth="1"/>
    <col min="10500" max="10500" width="10.26953125" style="1" customWidth="1"/>
    <col min="10501" max="10501" width="11.1796875" style="1" customWidth="1"/>
    <col min="10502" max="10502" width="8.453125" style="1" customWidth="1"/>
    <col min="10503" max="10503" width="10.1796875" style="1" customWidth="1"/>
    <col min="10504" max="10504" width="10.54296875" style="1" customWidth="1"/>
    <col min="10505" max="10505" width="1.453125" style="1" customWidth="1"/>
    <col min="10506" max="10506" width="1.7265625" style="1" customWidth="1"/>
    <col min="10507" max="10512" width="0" style="1" hidden="1" customWidth="1"/>
    <col min="10513" max="10513" width="10.1796875" style="1" customWidth="1"/>
    <col min="10514" max="10517" width="0" style="1" hidden="1" customWidth="1"/>
    <col min="10518" max="10518" width="9.1796875" style="1" customWidth="1"/>
    <col min="10519" max="10519" width="11.90625" style="1" customWidth="1"/>
    <col min="10520" max="10520" width="1.453125" style="1" customWidth="1"/>
    <col min="10521" max="10521" width="1.7265625" style="1" customWidth="1"/>
    <col min="10522" max="10532" width="0" style="1" hidden="1" customWidth="1"/>
    <col min="10533" max="10533" width="11.1796875" style="1" customWidth="1"/>
    <col min="10534" max="10535" width="0" style="1" hidden="1" customWidth="1"/>
    <col min="10536" max="10536" width="13" style="1" customWidth="1"/>
    <col min="10537" max="10539" width="0" style="1" hidden="1" customWidth="1"/>
    <col min="10540" max="10540" width="11.453125" style="1"/>
    <col min="10541" max="10541" width="12.453125" style="1" customWidth="1"/>
    <col min="10542" max="10543" width="10.7265625" style="1" customWidth="1"/>
    <col min="10544" max="10544" width="1.81640625" style="1" customWidth="1"/>
    <col min="10545" max="10545" width="2" style="1" customWidth="1"/>
    <col min="10546" max="10568" width="0" style="1" hidden="1" customWidth="1"/>
    <col min="10569" max="10569" width="13" style="1" customWidth="1"/>
    <col min="10570" max="10571" width="12.26953125" style="1" customWidth="1"/>
    <col min="10572" max="10752" width="11.453125" style="1"/>
    <col min="10753" max="10753" width="4.453125" style="1" customWidth="1"/>
    <col min="10754" max="10754" width="26.26953125" style="1" customWidth="1"/>
    <col min="10755" max="10755" width="8.26953125" style="1" customWidth="1"/>
    <col min="10756" max="10756" width="10.26953125" style="1" customWidth="1"/>
    <col min="10757" max="10757" width="11.1796875" style="1" customWidth="1"/>
    <col min="10758" max="10758" width="8.453125" style="1" customWidth="1"/>
    <col min="10759" max="10759" width="10.1796875" style="1" customWidth="1"/>
    <col min="10760" max="10760" width="10.54296875" style="1" customWidth="1"/>
    <col min="10761" max="10761" width="1.453125" style="1" customWidth="1"/>
    <col min="10762" max="10762" width="1.7265625" style="1" customWidth="1"/>
    <col min="10763" max="10768" width="0" style="1" hidden="1" customWidth="1"/>
    <col min="10769" max="10769" width="10.1796875" style="1" customWidth="1"/>
    <col min="10770" max="10773" width="0" style="1" hidden="1" customWidth="1"/>
    <col min="10774" max="10774" width="9.1796875" style="1" customWidth="1"/>
    <col min="10775" max="10775" width="11.90625" style="1" customWidth="1"/>
    <col min="10776" max="10776" width="1.453125" style="1" customWidth="1"/>
    <col min="10777" max="10777" width="1.7265625" style="1" customWidth="1"/>
    <col min="10778" max="10788" width="0" style="1" hidden="1" customWidth="1"/>
    <col min="10789" max="10789" width="11.1796875" style="1" customWidth="1"/>
    <col min="10790" max="10791" width="0" style="1" hidden="1" customWidth="1"/>
    <col min="10792" max="10792" width="13" style="1" customWidth="1"/>
    <col min="10793" max="10795" width="0" style="1" hidden="1" customWidth="1"/>
    <col min="10796" max="10796" width="11.453125" style="1"/>
    <col min="10797" max="10797" width="12.453125" style="1" customWidth="1"/>
    <col min="10798" max="10799" width="10.7265625" style="1" customWidth="1"/>
    <col min="10800" max="10800" width="1.81640625" style="1" customWidth="1"/>
    <col min="10801" max="10801" width="2" style="1" customWidth="1"/>
    <col min="10802" max="10824" width="0" style="1" hidden="1" customWidth="1"/>
    <col min="10825" max="10825" width="13" style="1" customWidth="1"/>
    <col min="10826" max="10827" width="12.26953125" style="1" customWidth="1"/>
    <col min="10828" max="11008" width="11.453125" style="1"/>
    <col min="11009" max="11009" width="4.453125" style="1" customWidth="1"/>
    <col min="11010" max="11010" width="26.26953125" style="1" customWidth="1"/>
    <col min="11011" max="11011" width="8.26953125" style="1" customWidth="1"/>
    <col min="11012" max="11012" width="10.26953125" style="1" customWidth="1"/>
    <col min="11013" max="11013" width="11.1796875" style="1" customWidth="1"/>
    <col min="11014" max="11014" width="8.453125" style="1" customWidth="1"/>
    <col min="11015" max="11015" width="10.1796875" style="1" customWidth="1"/>
    <col min="11016" max="11016" width="10.54296875" style="1" customWidth="1"/>
    <col min="11017" max="11017" width="1.453125" style="1" customWidth="1"/>
    <col min="11018" max="11018" width="1.7265625" style="1" customWidth="1"/>
    <col min="11019" max="11024" width="0" style="1" hidden="1" customWidth="1"/>
    <col min="11025" max="11025" width="10.1796875" style="1" customWidth="1"/>
    <col min="11026" max="11029" width="0" style="1" hidden="1" customWidth="1"/>
    <col min="11030" max="11030" width="9.1796875" style="1" customWidth="1"/>
    <col min="11031" max="11031" width="11.90625" style="1" customWidth="1"/>
    <col min="11032" max="11032" width="1.453125" style="1" customWidth="1"/>
    <col min="11033" max="11033" width="1.7265625" style="1" customWidth="1"/>
    <col min="11034" max="11044" width="0" style="1" hidden="1" customWidth="1"/>
    <col min="11045" max="11045" width="11.1796875" style="1" customWidth="1"/>
    <col min="11046" max="11047" width="0" style="1" hidden="1" customWidth="1"/>
    <col min="11048" max="11048" width="13" style="1" customWidth="1"/>
    <col min="11049" max="11051" width="0" style="1" hidden="1" customWidth="1"/>
    <col min="11052" max="11052" width="11.453125" style="1"/>
    <col min="11053" max="11053" width="12.453125" style="1" customWidth="1"/>
    <col min="11054" max="11055" width="10.7265625" style="1" customWidth="1"/>
    <col min="11056" max="11056" width="1.81640625" style="1" customWidth="1"/>
    <col min="11057" max="11057" width="2" style="1" customWidth="1"/>
    <col min="11058" max="11080" width="0" style="1" hidden="1" customWidth="1"/>
    <col min="11081" max="11081" width="13" style="1" customWidth="1"/>
    <col min="11082" max="11083" width="12.26953125" style="1" customWidth="1"/>
    <col min="11084" max="11264" width="11.453125" style="1"/>
    <col min="11265" max="11265" width="4.453125" style="1" customWidth="1"/>
    <col min="11266" max="11266" width="26.26953125" style="1" customWidth="1"/>
    <col min="11267" max="11267" width="8.26953125" style="1" customWidth="1"/>
    <col min="11268" max="11268" width="10.26953125" style="1" customWidth="1"/>
    <col min="11269" max="11269" width="11.1796875" style="1" customWidth="1"/>
    <col min="11270" max="11270" width="8.453125" style="1" customWidth="1"/>
    <col min="11271" max="11271" width="10.1796875" style="1" customWidth="1"/>
    <col min="11272" max="11272" width="10.54296875" style="1" customWidth="1"/>
    <col min="11273" max="11273" width="1.453125" style="1" customWidth="1"/>
    <col min="11274" max="11274" width="1.7265625" style="1" customWidth="1"/>
    <col min="11275" max="11280" width="0" style="1" hidden="1" customWidth="1"/>
    <col min="11281" max="11281" width="10.1796875" style="1" customWidth="1"/>
    <col min="11282" max="11285" width="0" style="1" hidden="1" customWidth="1"/>
    <col min="11286" max="11286" width="9.1796875" style="1" customWidth="1"/>
    <col min="11287" max="11287" width="11.90625" style="1" customWidth="1"/>
    <col min="11288" max="11288" width="1.453125" style="1" customWidth="1"/>
    <col min="11289" max="11289" width="1.7265625" style="1" customWidth="1"/>
    <col min="11290" max="11300" width="0" style="1" hidden="1" customWidth="1"/>
    <col min="11301" max="11301" width="11.1796875" style="1" customWidth="1"/>
    <col min="11302" max="11303" width="0" style="1" hidden="1" customWidth="1"/>
    <col min="11304" max="11304" width="13" style="1" customWidth="1"/>
    <col min="11305" max="11307" width="0" style="1" hidden="1" customWidth="1"/>
    <col min="11308" max="11308" width="11.453125" style="1"/>
    <col min="11309" max="11309" width="12.453125" style="1" customWidth="1"/>
    <col min="11310" max="11311" width="10.7265625" style="1" customWidth="1"/>
    <col min="11312" max="11312" width="1.81640625" style="1" customWidth="1"/>
    <col min="11313" max="11313" width="2" style="1" customWidth="1"/>
    <col min="11314" max="11336" width="0" style="1" hidden="1" customWidth="1"/>
    <col min="11337" max="11337" width="13" style="1" customWidth="1"/>
    <col min="11338" max="11339" width="12.26953125" style="1" customWidth="1"/>
    <col min="11340" max="11520" width="11.453125" style="1"/>
    <col min="11521" max="11521" width="4.453125" style="1" customWidth="1"/>
    <col min="11522" max="11522" width="26.26953125" style="1" customWidth="1"/>
    <col min="11523" max="11523" width="8.26953125" style="1" customWidth="1"/>
    <col min="11524" max="11524" width="10.26953125" style="1" customWidth="1"/>
    <col min="11525" max="11525" width="11.1796875" style="1" customWidth="1"/>
    <col min="11526" max="11526" width="8.453125" style="1" customWidth="1"/>
    <col min="11527" max="11527" width="10.1796875" style="1" customWidth="1"/>
    <col min="11528" max="11528" width="10.54296875" style="1" customWidth="1"/>
    <col min="11529" max="11529" width="1.453125" style="1" customWidth="1"/>
    <col min="11530" max="11530" width="1.7265625" style="1" customWidth="1"/>
    <col min="11531" max="11536" width="0" style="1" hidden="1" customWidth="1"/>
    <col min="11537" max="11537" width="10.1796875" style="1" customWidth="1"/>
    <col min="11538" max="11541" width="0" style="1" hidden="1" customWidth="1"/>
    <col min="11542" max="11542" width="9.1796875" style="1" customWidth="1"/>
    <col min="11543" max="11543" width="11.90625" style="1" customWidth="1"/>
    <col min="11544" max="11544" width="1.453125" style="1" customWidth="1"/>
    <col min="11545" max="11545" width="1.7265625" style="1" customWidth="1"/>
    <col min="11546" max="11556" width="0" style="1" hidden="1" customWidth="1"/>
    <col min="11557" max="11557" width="11.1796875" style="1" customWidth="1"/>
    <col min="11558" max="11559" width="0" style="1" hidden="1" customWidth="1"/>
    <col min="11560" max="11560" width="13" style="1" customWidth="1"/>
    <col min="11561" max="11563" width="0" style="1" hidden="1" customWidth="1"/>
    <col min="11564" max="11564" width="11.453125" style="1"/>
    <col min="11565" max="11565" width="12.453125" style="1" customWidth="1"/>
    <col min="11566" max="11567" width="10.7265625" style="1" customWidth="1"/>
    <col min="11568" max="11568" width="1.81640625" style="1" customWidth="1"/>
    <col min="11569" max="11569" width="2" style="1" customWidth="1"/>
    <col min="11570" max="11592" width="0" style="1" hidden="1" customWidth="1"/>
    <col min="11593" max="11593" width="13" style="1" customWidth="1"/>
    <col min="11594" max="11595" width="12.26953125" style="1" customWidth="1"/>
    <col min="11596" max="11776" width="11.453125" style="1"/>
    <col min="11777" max="11777" width="4.453125" style="1" customWidth="1"/>
    <col min="11778" max="11778" width="26.26953125" style="1" customWidth="1"/>
    <col min="11779" max="11779" width="8.26953125" style="1" customWidth="1"/>
    <col min="11780" max="11780" width="10.26953125" style="1" customWidth="1"/>
    <col min="11781" max="11781" width="11.1796875" style="1" customWidth="1"/>
    <col min="11782" max="11782" width="8.453125" style="1" customWidth="1"/>
    <col min="11783" max="11783" width="10.1796875" style="1" customWidth="1"/>
    <col min="11784" max="11784" width="10.54296875" style="1" customWidth="1"/>
    <col min="11785" max="11785" width="1.453125" style="1" customWidth="1"/>
    <col min="11786" max="11786" width="1.7265625" style="1" customWidth="1"/>
    <col min="11787" max="11792" width="0" style="1" hidden="1" customWidth="1"/>
    <col min="11793" max="11793" width="10.1796875" style="1" customWidth="1"/>
    <col min="11794" max="11797" width="0" style="1" hidden="1" customWidth="1"/>
    <col min="11798" max="11798" width="9.1796875" style="1" customWidth="1"/>
    <col min="11799" max="11799" width="11.90625" style="1" customWidth="1"/>
    <col min="11800" max="11800" width="1.453125" style="1" customWidth="1"/>
    <col min="11801" max="11801" width="1.7265625" style="1" customWidth="1"/>
    <col min="11802" max="11812" width="0" style="1" hidden="1" customWidth="1"/>
    <col min="11813" max="11813" width="11.1796875" style="1" customWidth="1"/>
    <col min="11814" max="11815" width="0" style="1" hidden="1" customWidth="1"/>
    <col min="11816" max="11816" width="13" style="1" customWidth="1"/>
    <col min="11817" max="11819" width="0" style="1" hidden="1" customWidth="1"/>
    <col min="11820" max="11820" width="11.453125" style="1"/>
    <col min="11821" max="11821" width="12.453125" style="1" customWidth="1"/>
    <col min="11822" max="11823" width="10.7265625" style="1" customWidth="1"/>
    <col min="11824" max="11824" width="1.81640625" style="1" customWidth="1"/>
    <col min="11825" max="11825" width="2" style="1" customWidth="1"/>
    <col min="11826" max="11848" width="0" style="1" hidden="1" customWidth="1"/>
    <col min="11849" max="11849" width="13" style="1" customWidth="1"/>
    <col min="11850" max="11851" width="12.26953125" style="1" customWidth="1"/>
    <col min="11852" max="12032" width="11.453125" style="1"/>
    <col min="12033" max="12033" width="4.453125" style="1" customWidth="1"/>
    <col min="12034" max="12034" width="26.26953125" style="1" customWidth="1"/>
    <col min="12035" max="12035" width="8.26953125" style="1" customWidth="1"/>
    <col min="12036" max="12036" width="10.26953125" style="1" customWidth="1"/>
    <col min="12037" max="12037" width="11.1796875" style="1" customWidth="1"/>
    <col min="12038" max="12038" width="8.453125" style="1" customWidth="1"/>
    <col min="12039" max="12039" width="10.1796875" style="1" customWidth="1"/>
    <col min="12040" max="12040" width="10.54296875" style="1" customWidth="1"/>
    <col min="12041" max="12041" width="1.453125" style="1" customWidth="1"/>
    <col min="12042" max="12042" width="1.7265625" style="1" customWidth="1"/>
    <col min="12043" max="12048" width="0" style="1" hidden="1" customWidth="1"/>
    <col min="12049" max="12049" width="10.1796875" style="1" customWidth="1"/>
    <col min="12050" max="12053" width="0" style="1" hidden="1" customWidth="1"/>
    <col min="12054" max="12054" width="9.1796875" style="1" customWidth="1"/>
    <col min="12055" max="12055" width="11.90625" style="1" customWidth="1"/>
    <col min="12056" max="12056" width="1.453125" style="1" customWidth="1"/>
    <col min="12057" max="12057" width="1.7265625" style="1" customWidth="1"/>
    <col min="12058" max="12068" width="0" style="1" hidden="1" customWidth="1"/>
    <col min="12069" max="12069" width="11.1796875" style="1" customWidth="1"/>
    <col min="12070" max="12071" width="0" style="1" hidden="1" customWidth="1"/>
    <col min="12072" max="12072" width="13" style="1" customWidth="1"/>
    <col min="12073" max="12075" width="0" style="1" hidden="1" customWidth="1"/>
    <col min="12076" max="12076" width="11.453125" style="1"/>
    <col min="12077" max="12077" width="12.453125" style="1" customWidth="1"/>
    <col min="12078" max="12079" width="10.7265625" style="1" customWidth="1"/>
    <col min="12080" max="12080" width="1.81640625" style="1" customWidth="1"/>
    <col min="12081" max="12081" width="2" style="1" customWidth="1"/>
    <col min="12082" max="12104" width="0" style="1" hidden="1" customWidth="1"/>
    <col min="12105" max="12105" width="13" style="1" customWidth="1"/>
    <col min="12106" max="12107" width="12.26953125" style="1" customWidth="1"/>
    <col min="12108" max="12288" width="11.453125" style="1"/>
    <col min="12289" max="12289" width="4.453125" style="1" customWidth="1"/>
    <col min="12290" max="12290" width="26.26953125" style="1" customWidth="1"/>
    <col min="12291" max="12291" width="8.26953125" style="1" customWidth="1"/>
    <col min="12292" max="12292" width="10.26953125" style="1" customWidth="1"/>
    <col min="12293" max="12293" width="11.1796875" style="1" customWidth="1"/>
    <col min="12294" max="12294" width="8.453125" style="1" customWidth="1"/>
    <col min="12295" max="12295" width="10.1796875" style="1" customWidth="1"/>
    <col min="12296" max="12296" width="10.54296875" style="1" customWidth="1"/>
    <col min="12297" max="12297" width="1.453125" style="1" customWidth="1"/>
    <col min="12298" max="12298" width="1.7265625" style="1" customWidth="1"/>
    <col min="12299" max="12304" width="0" style="1" hidden="1" customWidth="1"/>
    <col min="12305" max="12305" width="10.1796875" style="1" customWidth="1"/>
    <col min="12306" max="12309" width="0" style="1" hidden="1" customWidth="1"/>
    <col min="12310" max="12310" width="9.1796875" style="1" customWidth="1"/>
    <col min="12311" max="12311" width="11.90625" style="1" customWidth="1"/>
    <col min="12312" max="12312" width="1.453125" style="1" customWidth="1"/>
    <col min="12313" max="12313" width="1.7265625" style="1" customWidth="1"/>
    <col min="12314" max="12324" width="0" style="1" hidden="1" customWidth="1"/>
    <col min="12325" max="12325" width="11.1796875" style="1" customWidth="1"/>
    <col min="12326" max="12327" width="0" style="1" hidden="1" customWidth="1"/>
    <col min="12328" max="12328" width="13" style="1" customWidth="1"/>
    <col min="12329" max="12331" width="0" style="1" hidden="1" customWidth="1"/>
    <col min="12332" max="12332" width="11.453125" style="1"/>
    <col min="12333" max="12333" width="12.453125" style="1" customWidth="1"/>
    <col min="12334" max="12335" width="10.7265625" style="1" customWidth="1"/>
    <col min="12336" max="12336" width="1.81640625" style="1" customWidth="1"/>
    <col min="12337" max="12337" width="2" style="1" customWidth="1"/>
    <col min="12338" max="12360" width="0" style="1" hidden="1" customWidth="1"/>
    <col min="12361" max="12361" width="13" style="1" customWidth="1"/>
    <col min="12362" max="12363" width="12.26953125" style="1" customWidth="1"/>
    <col min="12364" max="12544" width="11.453125" style="1"/>
    <col min="12545" max="12545" width="4.453125" style="1" customWidth="1"/>
    <col min="12546" max="12546" width="26.26953125" style="1" customWidth="1"/>
    <col min="12547" max="12547" width="8.26953125" style="1" customWidth="1"/>
    <col min="12548" max="12548" width="10.26953125" style="1" customWidth="1"/>
    <col min="12549" max="12549" width="11.1796875" style="1" customWidth="1"/>
    <col min="12550" max="12550" width="8.453125" style="1" customWidth="1"/>
    <col min="12551" max="12551" width="10.1796875" style="1" customWidth="1"/>
    <col min="12552" max="12552" width="10.54296875" style="1" customWidth="1"/>
    <col min="12553" max="12553" width="1.453125" style="1" customWidth="1"/>
    <col min="12554" max="12554" width="1.7265625" style="1" customWidth="1"/>
    <col min="12555" max="12560" width="0" style="1" hidden="1" customWidth="1"/>
    <col min="12561" max="12561" width="10.1796875" style="1" customWidth="1"/>
    <col min="12562" max="12565" width="0" style="1" hidden="1" customWidth="1"/>
    <col min="12566" max="12566" width="9.1796875" style="1" customWidth="1"/>
    <col min="12567" max="12567" width="11.90625" style="1" customWidth="1"/>
    <col min="12568" max="12568" width="1.453125" style="1" customWidth="1"/>
    <col min="12569" max="12569" width="1.7265625" style="1" customWidth="1"/>
    <col min="12570" max="12580" width="0" style="1" hidden="1" customWidth="1"/>
    <col min="12581" max="12581" width="11.1796875" style="1" customWidth="1"/>
    <col min="12582" max="12583" width="0" style="1" hidden="1" customWidth="1"/>
    <col min="12584" max="12584" width="13" style="1" customWidth="1"/>
    <col min="12585" max="12587" width="0" style="1" hidden="1" customWidth="1"/>
    <col min="12588" max="12588" width="11.453125" style="1"/>
    <col min="12589" max="12589" width="12.453125" style="1" customWidth="1"/>
    <col min="12590" max="12591" width="10.7265625" style="1" customWidth="1"/>
    <col min="12592" max="12592" width="1.81640625" style="1" customWidth="1"/>
    <col min="12593" max="12593" width="2" style="1" customWidth="1"/>
    <col min="12594" max="12616" width="0" style="1" hidden="1" customWidth="1"/>
    <col min="12617" max="12617" width="13" style="1" customWidth="1"/>
    <col min="12618" max="12619" width="12.26953125" style="1" customWidth="1"/>
    <col min="12620" max="12800" width="11.453125" style="1"/>
    <col min="12801" max="12801" width="4.453125" style="1" customWidth="1"/>
    <col min="12802" max="12802" width="26.26953125" style="1" customWidth="1"/>
    <col min="12803" max="12803" width="8.26953125" style="1" customWidth="1"/>
    <col min="12804" max="12804" width="10.26953125" style="1" customWidth="1"/>
    <col min="12805" max="12805" width="11.1796875" style="1" customWidth="1"/>
    <col min="12806" max="12806" width="8.453125" style="1" customWidth="1"/>
    <col min="12807" max="12807" width="10.1796875" style="1" customWidth="1"/>
    <col min="12808" max="12808" width="10.54296875" style="1" customWidth="1"/>
    <col min="12809" max="12809" width="1.453125" style="1" customWidth="1"/>
    <col min="12810" max="12810" width="1.7265625" style="1" customWidth="1"/>
    <col min="12811" max="12816" width="0" style="1" hidden="1" customWidth="1"/>
    <col min="12817" max="12817" width="10.1796875" style="1" customWidth="1"/>
    <col min="12818" max="12821" width="0" style="1" hidden="1" customWidth="1"/>
    <col min="12822" max="12822" width="9.1796875" style="1" customWidth="1"/>
    <col min="12823" max="12823" width="11.90625" style="1" customWidth="1"/>
    <col min="12824" max="12824" width="1.453125" style="1" customWidth="1"/>
    <col min="12825" max="12825" width="1.7265625" style="1" customWidth="1"/>
    <col min="12826" max="12836" width="0" style="1" hidden="1" customWidth="1"/>
    <col min="12837" max="12837" width="11.1796875" style="1" customWidth="1"/>
    <col min="12838" max="12839" width="0" style="1" hidden="1" customWidth="1"/>
    <col min="12840" max="12840" width="13" style="1" customWidth="1"/>
    <col min="12841" max="12843" width="0" style="1" hidden="1" customWidth="1"/>
    <col min="12844" max="12844" width="11.453125" style="1"/>
    <col min="12845" max="12845" width="12.453125" style="1" customWidth="1"/>
    <col min="12846" max="12847" width="10.7265625" style="1" customWidth="1"/>
    <col min="12848" max="12848" width="1.81640625" style="1" customWidth="1"/>
    <col min="12849" max="12849" width="2" style="1" customWidth="1"/>
    <col min="12850" max="12872" width="0" style="1" hidden="1" customWidth="1"/>
    <col min="12873" max="12873" width="13" style="1" customWidth="1"/>
    <col min="12874" max="12875" width="12.26953125" style="1" customWidth="1"/>
    <col min="12876" max="13056" width="11.453125" style="1"/>
    <col min="13057" max="13057" width="4.453125" style="1" customWidth="1"/>
    <col min="13058" max="13058" width="26.26953125" style="1" customWidth="1"/>
    <col min="13059" max="13059" width="8.26953125" style="1" customWidth="1"/>
    <col min="13060" max="13060" width="10.26953125" style="1" customWidth="1"/>
    <col min="13061" max="13061" width="11.1796875" style="1" customWidth="1"/>
    <col min="13062" max="13062" width="8.453125" style="1" customWidth="1"/>
    <col min="13063" max="13063" width="10.1796875" style="1" customWidth="1"/>
    <col min="13064" max="13064" width="10.54296875" style="1" customWidth="1"/>
    <col min="13065" max="13065" width="1.453125" style="1" customWidth="1"/>
    <col min="13066" max="13066" width="1.7265625" style="1" customWidth="1"/>
    <col min="13067" max="13072" width="0" style="1" hidden="1" customWidth="1"/>
    <col min="13073" max="13073" width="10.1796875" style="1" customWidth="1"/>
    <col min="13074" max="13077" width="0" style="1" hidden="1" customWidth="1"/>
    <col min="13078" max="13078" width="9.1796875" style="1" customWidth="1"/>
    <col min="13079" max="13079" width="11.90625" style="1" customWidth="1"/>
    <col min="13080" max="13080" width="1.453125" style="1" customWidth="1"/>
    <col min="13081" max="13081" width="1.7265625" style="1" customWidth="1"/>
    <col min="13082" max="13092" width="0" style="1" hidden="1" customWidth="1"/>
    <col min="13093" max="13093" width="11.1796875" style="1" customWidth="1"/>
    <col min="13094" max="13095" width="0" style="1" hidden="1" customWidth="1"/>
    <col min="13096" max="13096" width="13" style="1" customWidth="1"/>
    <col min="13097" max="13099" width="0" style="1" hidden="1" customWidth="1"/>
    <col min="13100" max="13100" width="11.453125" style="1"/>
    <col min="13101" max="13101" width="12.453125" style="1" customWidth="1"/>
    <col min="13102" max="13103" width="10.7265625" style="1" customWidth="1"/>
    <col min="13104" max="13104" width="1.81640625" style="1" customWidth="1"/>
    <col min="13105" max="13105" width="2" style="1" customWidth="1"/>
    <col min="13106" max="13128" width="0" style="1" hidden="1" customWidth="1"/>
    <col min="13129" max="13129" width="13" style="1" customWidth="1"/>
    <col min="13130" max="13131" width="12.26953125" style="1" customWidth="1"/>
    <col min="13132" max="13312" width="11.453125" style="1"/>
    <col min="13313" max="13313" width="4.453125" style="1" customWidth="1"/>
    <col min="13314" max="13314" width="26.26953125" style="1" customWidth="1"/>
    <col min="13315" max="13315" width="8.26953125" style="1" customWidth="1"/>
    <col min="13316" max="13316" width="10.26953125" style="1" customWidth="1"/>
    <col min="13317" max="13317" width="11.1796875" style="1" customWidth="1"/>
    <col min="13318" max="13318" width="8.453125" style="1" customWidth="1"/>
    <col min="13319" max="13319" width="10.1796875" style="1" customWidth="1"/>
    <col min="13320" max="13320" width="10.54296875" style="1" customWidth="1"/>
    <col min="13321" max="13321" width="1.453125" style="1" customWidth="1"/>
    <col min="13322" max="13322" width="1.7265625" style="1" customWidth="1"/>
    <col min="13323" max="13328" width="0" style="1" hidden="1" customWidth="1"/>
    <col min="13329" max="13329" width="10.1796875" style="1" customWidth="1"/>
    <col min="13330" max="13333" width="0" style="1" hidden="1" customWidth="1"/>
    <col min="13334" max="13334" width="9.1796875" style="1" customWidth="1"/>
    <col min="13335" max="13335" width="11.90625" style="1" customWidth="1"/>
    <col min="13336" max="13336" width="1.453125" style="1" customWidth="1"/>
    <col min="13337" max="13337" width="1.7265625" style="1" customWidth="1"/>
    <col min="13338" max="13348" width="0" style="1" hidden="1" customWidth="1"/>
    <col min="13349" max="13349" width="11.1796875" style="1" customWidth="1"/>
    <col min="13350" max="13351" width="0" style="1" hidden="1" customWidth="1"/>
    <col min="13352" max="13352" width="13" style="1" customWidth="1"/>
    <col min="13353" max="13355" width="0" style="1" hidden="1" customWidth="1"/>
    <col min="13356" max="13356" width="11.453125" style="1"/>
    <col min="13357" max="13357" width="12.453125" style="1" customWidth="1"/>
    <col min="13358" max="13359" width="10.7265625" style="1" customWidth="1"/>
    <col min="13360" max="13360" width="1.81640625" style="1" customWidth="1"/>
    <col min="13361" max="13361" width="2" style="1" customWidth="1"/>
    <col min="13362" max="13384" width="0" style="1" hidden="1" customWidth="1"/>
    <col min="13385" max="13385" width="13" style="1" customWidth="1"/>
    <col min="13386" max="13387" width="12.26953125" style="1" customWidth="1"/>
    <col min="13388" max="13568" width="11.453125" style="1"/>
    <col min="13569" max="13569" width="4.453125" style="1" customWidth="1"/>
    <col min="13570" max="13570" width="26.26953125" style="1" customWidth="1"/>
    <col min="13571" max="13571" width="8.26953125" style="1" customWidth="1"/>
    <col min="13572" max="13572" width="10.26953125" style="1" customWidth="1"/>
    <col min="13573" max="13573" width="11.1796875" style="1" customWidth="1"/>
    <col min="13574" max="13574" width="8.453125" style="1" customWidth="1"/>
    <col min="13575" max="13575" width="10.1796875" style="1" customWidth="1"/>
    <col min="13576" max="13576" width="10.54296875" style="1" customWidth="1"/>
    <col min="13577" max="13577" width="1.453125" style="1" customWidth="1"/>
    <col min="13578" max="13578" width="1.7265625" style="1" customWidth="1"/>
    <col min="13579" max="13584" width="0" style="1" hidden="1" customWidth="1"/>
    <col min="13585" max="13585" width="10.1796875" style="1" customWidth="1"/>
    <col min="13586" max="13589" width="0" style="1" hidden="1" customWidth="1"/>
    <col min="13590" max="13590" width="9.1796875" style="1" customWidth="1"/>
    <col min="13591" max="13591" width="11.90625" style="1" customWidth="1"/>
    <col min="13592" max="13592" width="1.453125" style="1" customWidth="1"/>
    <col min="13593" max="13593" width="1.7265625" style="1" customWidth="1"/>
    <col min="13594" max="13604" width="0" style="1" hidden="1" customWidth="1"/>
    <col min="13605" max="13605" width="11.1796875" style="1" customWidth="1"/>
    <col min="13606" max="13607" width="0" style="1" hidden="1" customWidth="1"/>
    <col min="13608" max="13608" width="13" style="1" customWidth="1"/>
    <col min="13609" max="13611" width="0" style="1" hidden="1" customWidth="1"/>
    <col min="13612" max="13612" width="11.453125" style="1"/>
    <col min="13613" max="13613" width="12.453125" style="1" customWidth="1"/>
    <col min="13614" max="13615" width="10.7265625" style="1" customWidth="1"/>
    <col min="13616" max="13616" width="1.81640625" style="1" customWidth="1"/>
    <col min="13617" max="13617" width="2" style="1" customWidth="1"/>
    <col min="13618" max="13640" width="0" style="1" hidden="1" customWidth="1"/>
    <col min="13641" max="13641" width="13" style="1" customWidth="1"/>
    <col min="13642" max="13643" width="12.26953125" style="1" customWidth="1"/>
    <col min="13644" max="13824" width="11.453125" style="1"/>
    <col min="13825" max="13825" width="4.453125" style="1" customWidth="1"/>
    <col min="13826" max="13826" width="26.26953125" style="1" customWidth="1"/>
    <col min="13827" max="13827" width="8.26953125" style="1" customWidth="1"/>
    <col min="13828" max="13828" width="10.26953125" style="1" customWidth="1"/>
    <col min="13829" max="13829" width="11.1796875" style="1" customWidth="1"/>
    <col min="13830" max="13830" width="8.453125" style="1" customWidth="1"/>
    <col min="13831" max="13831" width="10.1796875" style="1" customWidth="1"/>
    <col min="13832" max="13832" width="10.54296875" style="1" customWidth="1"/>
    <col min="13833" max="13833" width="1.453125" style="1" customWidth="1"/>
    <col min="13834" max="13834" width="1.7265625" style="1" customWidth="1"/>
    <col min="13835" max="13840" width="0" style="1" hidden="1" customWidth="1"/>
    <col min="13841" max="13841" width="10.1796875" style="1" customWidth="1"/>
    <col min="13842" max="13845" width="0" style="1" hidden="1" customWidth="1"/>
    <col min="13846" max="13846" width="9.1796875" style="1" customWidth="1"/>
    <col min="13847" max="13847" width="11.90625" style="1" customWidth="1"/>
    <col min="13848" max="13848" width="1.453125" style="1" customWidth="1"/>
    <col min="13849" max="13849" width="1.7265625" style="1" customWidth="1"/>
    <col min="13850" max="13860" width="0" style="1" hidden="1" customWidth="1"/>
    <col min="13861" max="13861" width="11.1796875" style="1" customWidth="1"/>
    <col min="13862" max="13863" width="0" style="1" hidden="1" customWidth="1"/>
    <col min="13864" max="13864" width="13" style="1" customWidth="1"/>
    <col min="13865" max="13867" width="0" style="1" hidden="1" customWidth="1"/>
    <col min="13868" max="13868" width="11.453125" style="1"/>
    <col min="13869" max="13869" width="12.453125" style="1" customWidth="1"/>
    <col min="13870" max="13871" width="10.7265625" style="1" customWidth="1"/>
    <col min="13872" max="13872" width="1.81640625" style="1" customWidth="1"/>
    <col min="13873" max="13873" width="2" style="1" customWidth="1"/>
    <col min="13874" max="13896" width="0" style="1" hidden="1" customWidth="1"/>
    <col min="13897" max="13897" width="13" style="1" customWidth="1"/>
    <col min="13898" max="13899" width="12.26953125" style="1" customWidth="1"/>
    <col min="13900" max="14080" width="11.453125" style="1"/>
    <col min="14081" max="14081" width="4.453125" style="1" customWidth="1"/>
    <col min="14082" max="14082" width="26.26953125" style="1" customWidth="1"/>
    <col min="14083" max="14083" width="8.26953125" style="1" customWidth="1"/>
    <col min="14084" max="14084" width="10.26953125" style="1" customWidth="1"/>
    <col min="14085" max="14085" width="11.1796875" style="1" customWidth="1"/>
    <col min="14086" max="14086" width="8.453125" style="1" customWidth="1"/>
    <col min="14087" max="14087" width="10.1796875" style="1" customWidth="1"/>
    <col min="14088" max="14088" width="10.54296875" style="1" customWidth="1"/>
    <col min="14089" max="14089" width="1.453125" style="1" customWidth="1"/>
    <col min="14090" max="14090" width="1.7265625" style="1" customWidth="1"/>
    <col min="14091" max="14096" width="0" style="1" hidden="1" customWidth="1"/>
    <col min="14097" max="14097" width="10.1796875" style="1" customWidth="1"/>
    <col min="14098" max="14101" width="0" style="1" hidden="1" customWidth="1"/>
    <col min="14102" max="14102" width="9.1796875" style="1" customWidth="1"/>
    <col min="14103" max="14103" width="11.90625" style="1" customWidth="1"/>
    <col min="14104" max="14104" width="1.453125" style="1" customWidth="1"/>
    <col min="14105" max="14105" width="1.7265625" style="1" customWidth="1"/>
    <col min="14106" max="14116" width="0" style="1" hidden="1" customWidth="1"/>
    <col min="14117" max="14117" width="11.1796875" style="1" customWidth="1"/>
    <col min="14118" max="14119" width="0" style="1" hidden="1" customWidth="1"/>
    <col min="14120" max="14120" width="13" style="1" customWidth="1"/>
    <col min="14121" max="14123" width="0" style="1" hidden="1" customWidth="1"/>
    <col min="14124" max="14124" width="11.453125" style="1"/>
    <col min="14125" max="14125" width="12.453125" style="1" customWidth="1"/>
    <col min="14126" max="14127" width="10.7265625" style="1" customWidth="1"/>
    <col min="14128" max="14128" width="1.81640625" style="1" customWidth="1"/>
    <col min="14129" max="14129" width="2" style="1" customWidth="1"/>
    <col min="14130" max="14152" width="0" style="1" hidden="1" customWidth="1"/>
    <col min="14153" max="14153" width="13" style="1" customWidth="1"/>
    <col min="14154" max="14155" width="12.26953125" style="1" customWidth="1"/>
    <col min="14156" max="14336" width="11.453125" style="1"/>
    <col min="14337" max="14337" width="4.453125" style="1" customWidth="1"/>
    <col min="14338" max="14338" width="26.26953125" style="1" customWidth="1"/>
    <col min="14339" max="14339" width="8.26953125" style="1" customWidth="1"/>
    <col min="14340" max="14340" width="10.26953125" style="1" customWidth="1"/>
    <col min="14341" max="14341" width="11.1796875" style="1" customWidth="1"/>
    <col min="14342" max="14342" width="8.453125" style="1" customWidth="1"/>
    <col min="14343" max="14343" width="10.1796875" style="1" customWidth="1"/>
    <col min="14344" max="14344" width="10.54296875" style="1" customWidth="1"/>
    <col min="14345" max="14345" width="1.453125" style="1" customWidth="1"/>
    <col min="14346" max="14346" width="1.7265625" style="1" customWidth="1"/>
    <col min="14347" max="14352" width="0" style="1" hidden="1" customWidth="1"/>
    <col min="14353" max="14353" width="10.1796875" style="1" customWidth="1"/>
    <col min="14354" max="14357" width="0" style="1" hidden="1" customWidth="1"/>
    <col min="14358" max="14358" width="9.1796875" style="1" customWidth="1"/>
    <col min="14359" max="14359" width="11.90625" style="1" customWidth="1"/>
    <col min="14360" max="14360" width="1.453125" style="1" customWidth="1"/>
    <col min="14361" max="14361" width="1.7265625" style="1" customWidth="1"/>
    <col min="14362" max="14372" width="0" style="1" hidden="1" customWidth="1"/>
    <col min="14373" max="14373" width="11.1796875" style="1" customWidth="1"/>
    <col min="14374" max="14375" width="0" style="1" hidden="1" customWidth="1"/>
    <col min="14376" max="14376" width="13" style="1" customWidth="1"/>
    <col min="14377" max="14379" width="0" style="1" hidden="1" customWidth="1"/>
    <col min="14380" max="14380" width="11.453125" style="1"/>
    <col min="14381" max="14381" width="12.453125" style="1" customWidth="1"/>
    <col min="14382" max="14383" width="10.7265625" style="1" customWidth="1"/>
    <col min="14384" max="14384" width="1.81640625" style="1" customWidth="1"/>
    <col min="14385" max="14385" width="2" style="1" customWidth="1"/>
    <col min="14386" max="14408" width="0" style="1" hidden="1" customWidth="1"/>
    <col min="14409" max="14409" width="13" style="1" customWidth="1"/>
    <col min="14410" max="14411" width="12.26953125" style="1" customWidth="1"/>
    <col min="14412" max="14592" width="11.453125" style="1"/>
    <col min="14593" max="14593" width="4.453125" style="1" customWidth="1"/>
    <col min="14594" max="14594" width="26.26953125" style="1" customWidth="1"/>
    <col min="14595" max="14595" width="8.26953125" style="1" customWidth="1"/>
    <col min="14596" max="14596" width="10.26953125" style="1" customWidth="1"/>
    <col min="14597" max="14597" width="11.1796875" style="1" customWidth="1"/>
    <col min="14598" max="14598" width="8.453125" style="1" customWidth="1"/>
    <col min="14599" max="14599" width="10.1796875" style="1" customWidth="1"/>
    <col min="14600" max="14600" width="10.54296875" style="1" customWidth="1"/>
    <col min="14601" max="14601" width="1.453125" style="1" customWidth="1"/>
    <col min="14602" max="14602" width="1.7265625" style="1" customWidth="1"/>
    <col min="14603" max="14608" width="0" style="1" hidden="1" customWidth="1"/>
    <col min="14609" max="14609" width="10.1796875" style="1" customWidth="1"/>
    <col min="14610" max="14613" width="0" style="1" hidden="1" customWidth="1"/>
    <col min="14614" max="14614" width="9.1796875" style="1" customWidth="1"/>
    <col min="14615" max="14615" width="11.90625" style="1" customWidth="1"/>
    <col min="14616" max="14616" width="1.453125" style="1" customWidth="1"/>
    <col min="14617" max="14617" width="1.7265625" style="1" customWidth="1"/>
    <col min="14618" max="14628" width="0" style="1" hidden="1" customWidth="1"/>
    <col min="14629" max="14629" width="11.1796875" style="1" customWidth="1"/>
    <col min="14630" max="14631" width="0" style="1" hidden="1" customWidth="1"/>
    <col min="14632" max="14632" width="13" style="1" customWidth="1"/>
    <col min="14633" max="14635" width="0" style="1" hidden="1" customWidth="1"/>
    <col min="14636" max="14636" width="11.453125" style="1"/>
    <col min="14637" max="14637" width="12.453125" style="1" customWidth="1"/>
    <col min="14638" max="14639" width="10.7265625" style="1" customWidth="1"/>
    <col min="14640" max="14640" width="1.81640625" style="1" customWidth="1"/>
    <col min="14641" max="14641" width="2" style="1" customWidth="1"/>
    <col min="14642" max="14664" width="0" style="1" hidden="1" customWidth="1"/>
    <col min="14665" max="14665" width="13" style="1" customWidth="1"/>
    <col min="14666" max="14667" width="12.26953125" style="1" customWidth="1"/>
    <col min="14668" max="14848" width="11.453125" style="1"/>
    <col min="14849" max="14849" width="4.453125" style="1" customWidth="1"/>
    <col min="14850" max="14850" width="26.26953125" style="1" customWidth="1"/>
    <col min="14851" max="14851" width="8.26953125" style="1" customWidth="1"/>
    <col min="14852" max="14852" width="10.26953125" style="1" customWidth="1"/>
    <col min="14853" max="14853" width="11.1796875" style="1" customWidth="1"/>
    <col min="14854" max="14854" width="8.453125" style="1" customWidth="1"/>
    <col min="14855" max="14855" width="10.1796875" style="1" customWidth="1"/>
    <col min="14856" max="14856" width="10.54296875" style="1" customWidth="1"/>
    <col min="14857" max="14857" width="1.453125" style="1" customWidth="1"/>
    <col min="14858" max="14858" width="1.7265625" style="1" customWidth="1"/>
    <col min="14859" max="14864" width="0" style="1" hidden="1" customWidth="1"/>
    <col min="14865" max="14865" width="10.1796875" style="1" customWidth="1"/>
    <col min="14866" max="14869" width="0" style="1" hidden="1" customWidth="1"/>
    <col min="14870" max="14870" width="9.1796875" style="1" customWidth="1"/>
    <col min="14871" max="14871" width="11.90625" style="1" customWidth="1"/>
    <col min="14872" max="14872" width="1.453125" style="1" customWidth="1"/>
    <col min="14873" max="14873" width="1.7265625" style="1" customWidth="1"/>
    <col min="14874" max="14884" width="0" style="1" hidden="1" customWidth="1"/>
    <col min="14885" max="14885" width="11.1796875" style="1" customWidth="1"/>
    <col min="14886" max="14887" width="0" style="1" hidden="1" customWidth="1"/>
    <col min="14888" max="14888" width="13" style="1" customWidth="1"/>
    <col min="14889" max="14891" width="0" style="1" hidden="1" customWidth="1"/>
    <col min="14892" max="14892" width="11.453125" style="1"/>
    <col min="14893" max="14893" width="12.453125" style="1" customWidth="1"/>
    <col min="14894" max="14895" width="10.7265625" style="1" customWidth="1"/>
    <col min="14896" max="14896" width="1.81640625" style="1" customWidth="1"/>
    <col min="14897" max="14897" width="2" style="1" customWidth="1"/>
    <col min="14898" max="14920" width="0" style="1" hidden="1" customWidth="1"/>
    <col min="14921" max="14921" width="13" style="1" customWidth="1"/>
    <col min="14922" max="14923" width="12.26953125" style="1" customWidth="1"/>
    <col min="14924" max="15104" width="11.453125" style="1"/>
    <col min="15105" max="15105" width="4.453125" style="1" customWidth="1"/>
    <col min="15106" max="15106" width="26.26953125" style="1" customWidth="1"/>
    <col min="15107" max="15107" width="8.26953125" style="1" customWidth="1"/>
    <col min="15108" max="15108" width="10.26953125" style="1" customWidth="1"/>
    <col min="15109" max="15109" width="11.1796875" style="1" customWidth="1"/>
    <col min="15110" max="15110" width="8.453125" style="1" customWidth="1"/>
    <col min="15111" max="15111" width="10.1796875" style="1" customWidth="1"/>
    <col min="15112" max="15112" width="10.54296875" style="1" customWidth="1"/>
    <col min="15113" max="15113" width="1.453125" style="1" customWidth="1"/>
    <col min="15114" max="15114" width="1.7265625" style="1" customWidth="1"/>
    <col min="15115" max="15120" width="0" style="1" hidden="1" customWidth="1"/>
    <col min="15121" max="15121" width="10.1796875" style="1" customWidth="1"/>
    <col min="15122" max="15125" width="0" style="1" hidden="1" customWidth="1"/>
    <col min="15126" max="15126" width="9.1796875" style="1" customWidth="1"/>
    <col min="15127" max="15127" width="11.90625" style="1" customWidth="1"/>
    <col min="15128" max="15128" width="1.453125" style="1" customWidth="1"/>
    <col min="15129" max="15129" width="1.7265625" style="1" customWidth="1"/>
    <col min="15130" max="15140" width="0" style="1" hidden="1" customWidth="1"/>
    <col min="15141" max="15141" width="11.1796875" style="1" customWidth="1"/>
    <col min="15142" max="15143" width="0" style="1" hidden="1" customWidth="1"/>
    <col min="15144" max="15144" width="13" style="1" customWidth="1"/>
    <col min="15145" max="15147" width="0" style="1" hidden="1" customWidth="1"/>
    <col min="15148" max="15148" width="11.453125" style="1"/>
    <col min="15149" max="15149" width="12.453125" style="1" customWidth="1"/>
    <col min="15150" max="15151" width="10.7265625" style="1" customWidth="1"/>
    <col min="15152" max="15152" width="1.81640625" style="1" customWidth="1"/>
    <col min="15153" max="15153" width="2" style="1" customWidth="1"/>
    <col min="15154" max="15176" width="0" style="1" hidden="1" customWidth="1"/>
    <col min="15177" max="15177" width="13" style="1" customWidth="1"/>
    <col min="15178" max="15179" width="12.26953125" style="1" customWidth="1"/>
    <col min="15180" max="15360" width="11.453125" style="1"/>
    <col min="15361" max="15361" width="4.453125" style="1" customWidth="1"/>
    <col min="15362" max="15362" width="26.26953125" style="1" customWidth="1"/>
    <col min="15363" max="15363" width="8.26953125" style="1" customWidth="1"/>
    <col min="15364" max="15364" width="10.26953125" style="1" customWidth="1"/>
    <col min="15365" max="15365" width="11.1796875" style="1" customWidth="1"/>
    <col min="15366" max="15366" width="8.453125" style="1" customWidth="1"/>
    <col min="15367" max="15367" width="10.1796875" style="1" customWidth="1"/>
    <col min="15368" max="15368" width="10.54296875" style="1" customWidth="1"/>
    <col min="15369" max="15369" width="1.453125" style="1" customWidth="1"/>
    <col min="15370" max="15370" width="1.7265625" style="1" customWidth="1"/>
    <col min="15371" max="15376" width="0" style="1" hidden="1" customWidth="1"/>
    <col min="15377" max="15377" width="10.1796875" style="1" customWidth="1"/>
    <col min="15378" max="15381" width="0" style="1" hidden="1" customWidth="1"/>
    <col min="15382" max="15382" width="9.1796875" style="1" customWidth="1"/>
    <col min="15383" max="15383" width="11.90625" style="1" customWidth="1"/>
    <col min="15384" max="15384" width="1.453125" style="1" customWidth="1"/>
    <col min="15385" max="15385" width="1.7265625" style="1" customWidth="1"/>
    <col min="15386" max="15396" width="0" style="1" hidden="1" customWidth="1"/>
    <col min="15397" max="15397" width="11.1796875" style="1" customWidth="1"/>
    <col min="15398" max="15399" width="0" style="1" hidden="1" customWidth="1"/>
    <col min="15400" max="15400" width="13" style="1" customWidth="1"/>
    <col min="15401" max="15403" width="0" style="1" hidden="1" customWidth="1"/>
    <col min="15404" max="15404" width="11.453125" style="1"/>
    <col min="15405" max="15405" width="12.453125" style="1" customWidth="1"/>
    <col min="15406" max="15407" width="10.7265625" style="1" customWidth="1"/>
    <col min="15408" max="15408" width="1.81640625" style="1" customWidth="1"/>
    <col min="15409" max="15409" width="2" style="1" customWidth="1"/>
    <col min="15410" max="15432" width="0" style="1" hidden="1" customWidth="1"/>
    <col min="15433" max="15433" width="13" style="1" customWidth="1"/>
    <col min="15434" max="15435" width="12.26953125" style="1" customWidth="1"/>
    <col min="15436" max="15616" width="11.453125" style="1"/>
    <col min="15617" max="15617" width="4.453125" style="1" customWidth="1"/>
    <col min="15618" max="15618" width="26.26953125" style="1" customWidth="1"/>
    <col min="15619" max="15619" width="8.26953125" style="1" customWidth="1"/>
    <col min="15620" max="15620" width="10.26953125" style="1" customWidth="1"/>
    <col min="15621" max="15621" width="11.1796875" style="1" customWidth="1"/>
    <col min="15622" max="15622" width="8.453125" style="1" customWidth="1"/>
    <col min="15623" max="15623" width="10.1796875" style="1" customWidth="1"/>
    <col min="15624" max="15624" width="10.54296875" style="1" customWidth="1"/>
    <col min="15625" max="15625" width="1.453125" style="1" customWidth="1"/>
    <col min="15626" max="15626" width="1.7265625" style="1" customWidth="1"/>
    <col min="15627" max="15632" width="0" style="1" hidden="1" customWidth="1"/>
    <col min="15633" max="15633" width="10.1796875" style="1" customWidth="1"/>
    <col min="15634" max="15637" width="0" style="1" hidden="1" customWidth="1"/>
    <col min="15638" max="15638" width="9.1796875" style="1" customWidth="1"/>
    <col min="15639" max="15639" width="11.90625" style="1" customWidth="1"/>
    <col min="15640" max="15640" width="1.453125" style="1" customWidth="1"/>
    <col min="15641" max="15641" width="1.7265625" style="1" customWidth="1"/>
    <col min="15642" max="15652" width="0" style="1" hidden="1" customWidth="1"/>
    <col min="15653" max="15653" width="11.1796875" style="1" customWidth="1"/>
    <col min="15654" max="15655" width="0" style="1" hidden="1" customWidth="1"/>
    <col min="15656" max="15656" width="13" style="1" customWidth="1"/>
    <col min="15657" max="15659" width="0" style="1" hidden="1" customWidth="1"/>
    <col min="15660" max="15660" width="11.453125" style="1"/>
    <col min="15661" max="15661" width="12.453125" style="1" customWidth="1"/>
    <col min="15662" max="15663" width="10.7265625" style="1" customWidth="1"/>
    <col min="15664" max="15664" width="1.81640625" style="1" customWidth="1"/>
    <col min="15665" max="15665" width="2" style="1" customWidth="1"/>
    <col min="15666" max="15688" width="0" style="1" hidden="1" customWidth="1"/>
    <col min="15689" max="15689" width="13" style="1" customWidth="1"/>
    <col min="15690" max="15691" width="12.26953125" style="1" customWidth="1"/>
    <col min="15692" max="15872" width="11.453125" style="1"/>
    <col min="15873" max="15873" width="4.453125" style="1" customWidth="1"/>
    <col min="15874" max="15874" width="26.26953125" style="1" customWidth="1"/>
    <col min="15875" max="15875" width="8.26953125" style="1" customWidth="1"/>
    <col min="15876" max="15876" width="10.26953125" style="1" customWidth="1"/>
    <col min="15877" max="15877" width="11.1796875" style="1" customWidth="1"/>
    <col min="15878" max="15878" width="8.453125" style="1" customWidth="1"/>
    <col min="15879" max="15879" width="10.1796875" style="1" customWidth="1"/>
    <col min="15880" max="15880" width="10.54296875" style="1" customWidth="1"/>
    <col min="15881" max="15881" width="1.453125" style="1" customWidth="1"/>
    <col min="15882" max="15882" width="1.7265625" style="1" customWidth="1"/>
    <col min="15883" max="15888" width="0" style="1" hidden="1" customWidth="1"/>
    <col min="15889" max="15889" width="10.1796875" style="1" customWidth="1"/>
    <col min="15890" max="15893" width="0" style="1" hidden="1" customWidth="1"/>
    <col min="15894" max="15894" width="9.1796875" style="1" customWidth="1"/>
    <col min="15895" max="15895" width="11.90625" style="1" customWidth="1"/>
    <col min="15896" max="15896" width="1.453125" style="1" customWidth="1"/>
    <col min="15897" max="15897" width="1.7265625" style="1" customWidth="1"/>
    <col min="15898" max="15908" width="0" style="1" hidden="1" customWidth="1"/>
    <col min="15909" max="15909" width="11.1796875" style="1" customWidth="1"/>
    <col min="15910" max="15911" width="0" style="1" hidden="1" customWidth="1"/>
    <col min="15912" max="15912" width="13" style="1" customWidth="1"/>
    <col min="15913" max="15915" width="0" style="1" hidden="1" customWidth="1"/>
    <col min="15916" max="15916" width="11.453125" style="1"/>
    <col min="15917" max="15917" width="12.453125" style="1" customWidth="1"/>
    <col min="15918" max="15919" width="10.7265625" style="1" customWidth="1"/>
    <col min="15920" max="15920" width="1.81640625" style="1" customWidth="1"/>
    <col min="15921" max="15921" width="2" style="1" customWidth="1"/>
    <col min="15922" max="15944" width="0" style="1" hidden="1" customWidth="1"/>
    <col min="15945" max="15945" width="13" style="1" customWidth="1"/>
    <col min="15946" max="15947" width="12.26953125" style="1" customWidth="1"/>
    <col min="15948" max="16128" width="11.453125" style="1"/>
    <col min="16129" max="16129" width="4.453125" style="1" customWidth="1"/>
    <col min="16130" max="16130" width="26.26953125" style="1" customWidth="1"/>
    <col min="16131" max="16131" width="8.26953125" style="1" customWidth="1"/>
    <col min="16132" max="16132" width="10.26953125" style="1" customWidth="1"/>
    <col min="16133" max="16133" width="11.1796875" style="1" customWidth="1"/>
    <col min="16134" max="16134" width="8.453125" style="1" customWidth="1"/>
    <col min="16135" max="16135" width="10.1796875" style="1" customWidth="1"/>
    <col min="16136" max="16136" width="10.54296875" style="1" customWidth="1"/>
    <col min="16137" max="16137" width="1.453125" style="1" customWidth="1"/>
    <col min="16138" max="16138" width="1.7265625" style="1" customWidth="1"/>
    <col min="16139" max="16144" width="0" style="1" hidden="1" customWidth="1"/>
    <col min="16145" max="16145" width="10.1796875" style="1" customWidth="1"/>
    <col min="16146" max="16149" width="0" style="1" hidden="1" customWidth="1"/>
    <col min="16150" max="16150" width="9.1796875" style="1" customWidth="1"/>
    <col min="16151" max="16151" width="11.90625" style="1" customWidth="1"/>
    <col min="16152" max="16152" width="1.453125" style="1" customWidth="1"/>
    <col min="16153" max="16153" width="1.7265625" style="1" customWidth="1"/>
    <col min="16154" max="16164" width="0" style="1" hidden="1" customWidth="1"/>
    <col min="16165" max="16165" width="11.1796875" style="1" customWidth="1"/>
    <col min="16166" max="16167" width="0" style="1" hidden="1" customWidth="1"/>
    <col min="16168" max="16168" width="13" style="1" customWidth="1"/>
    <col min="16169" max="16171" width="0" style="1" hidden="1" customWidth="1"/>
    <col min="16172" max="16172" width="11.453125" style="1"/>
    <col min="16173" max="16173" width="12.453125" style="1" customWidth="1"/>
    <col min="16174" max="16175" width="10.7265625" style="1" customWidth="1"/>
    <col min="16176" max="16176" width="1.81640625" style="1" customWidth="1"/>
    <col min="16177" max="16177" width="2" style="1" customWidth="1"/>
    <col min="16178" max="16200" width="0" style="1" hidden="1" customWidth="1"/>
    <col min="16201" max="16201" width="13" style="1" customWidth="1"/>
    <col min="16202" max="16203" width="12.26953125" style="1" customWidth="1"/>
    <col min="16204" max="16384" width="11.453125" style="1"/>
  </cols>
  <sheetData>
    <row r="1" spans="1:256">
      <c r="B1" s="509" t="s">
        <v>0</v>
      </c>
      <c r="C1" s="510">
        <v>0</v>
      </c>
      <c r="D1" s="510" t="s">
        <v>1</v>
      </c>
      <c r="E1" s="511">
        <v>0.01</v>
      </c>
      <c r="G1" s="2" t="s">
        <v>2</v>
      </c>
      <c r="H1" s="508">
        <v>0.95</v>
      </c>
      <c r="AF1" s="1"/>
    </row>
    <row r="2" spans="1:256" ht="15">
      <c r="G2" s="3" t="s">
        <v>3</v>
      </c>
      <c r="H2" s="4">
        <f>-NORMSINV((1-H1)/2)</f>
        <v>1.9599639845400536</v>
      </c>
      <c r="AF2" s="1"/>
    </row>
    <row r="3" spans="1:256" ht="13.5" thickBot="1">
      <c r="A3" s="5"/>
      <c r="B3" s="6"/>
      <c r="C3" s="7"/>
      <c r="D3" s="7"/>
      <c r="E3" s="6"/>
      <c r="F3" s="5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256" ht="24.5" customHeight="1" thickBot="1">
      <c r="A4" s="534" t="s">
        <v>317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BO4" s="535"/>
      <c r="BP4" s="535"/>
      <c r="BQ4" s="535"/>
      <c r="BR4" s="535"/>
      <c r="BS4" s="535"/>
      <c r="BT4" s="535"/>
      <c r="BU4" s="535"/>
      <c r="BV4" s="535"/>
      <c r="BW4" s="536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256" ht="14.5">
      <c r="A5" s="547"/>
      <c r="B5" s="10"/>
      <c r="C5" s="7"/>
      <c r="D5" s="7"/>
      <c r="E5" s="6"/>
      <c r="F5" s="5"/>
      <c r="G5" s="8"/>
      <c r="H5" s="8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256" ht="13" customHeight="1">
      <c r="A6" s="424"/>
      <c r="E6" s="11"/>
      <c r="J6" s="619" t="s">
        <v>4</v>
      </c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1"/>
      <c r="X6" s="12"/>
      <c r="Y6" s="619" t="s">
        <v>5</v>
      </c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1"/>
      <c r="AV6" s="12"/>
      <c r="AW6" s="619" t="s">
        <v>229</v>
      </c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0"/>
      <c r="BQ6" s="620"/>
      <c r="BR6" s="620"/>
      <c r="BS6" s="620"/>
      <c r="BT6" s="620"/>
      <c r="BU6" s="620"/>
      <c r="BV6" s="620"/>
      <c r="BW6" s="621"/>
    </row>
    <row r="7" spans="1:256">
      <c r="A7" s="548" t="s">
        <v>471</v>
      </c>
      <c r="B7" s="13" t="s">
        <v>6</v>
      </c>
      <c r="C7" s="623" t="s">
        <v>7</v>
      </c>
      <c r="D7" s="624"/>
      <c r="E7" s="622"/>
      <c r="F7" s="623" t="s">
        <v>8</v>
      </c>
      <c r="G7" s="624"/>
      <c r="H7" s="622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60">
      <c r="A8" s="553" t="s">
        <v>371</v>
      </c>
      <c r="B8" s="512" t="s">
        <v>380</v>
      </c>
      <c r="C8" s="16" t="s">
        <v>9</v>
      </c>
      <c r="D8" s="16" t="s">
        <v>10</v>
      </c>
      <c r="E8" s="16" t="s">
        <v>11</v>
      </c>
      <c r="F8" s="16" t="s">
        <v>9</v>
      </c>
      <c r="G8" s="16" t="s">
        <v>10</v>
      </c>
      <c r="H8" s="16" t="s">
        <v>11</v>
      </c>
      <c r="I8" s="17"/>
      <c r="K8" s="18" t="s">
        <v>12</v>
      </c>
      <c r="L8" s="18" t="s">
        <v>13</v>
      </c>
      <c r="M8" s="18" t="s">
        <v>14</v>
      </c>
      <c r="N8" s="19" t="s">
        <v>15</v>
      </c>
      <c r="O8" s="19" t="s">
        <v>16</v>
      </c>
      <c r="P8" s="19" t="s">
        <v>17</v>
      </c>
      <c r="Q8" s="495" t="s">
        <v>18</v>
      </c>
      <c r="R8" s="495" t="s">
        <v>19</v>
      </c>
      <c r="S8" s="496" t="s">
        <v>3</v>
      </c>
      <c r="T8" s="495" t="s">
        <v>20</v>
      </c>
      <c r="U8" s="495" t="s">
        <v>21</v>
      </c>
      <c r="V8" s="495" t="s">
        <v>22</v>
      </c>
      <c r="W8" s="495" t="s">
        <v>22</v>
      </c>
      <c r="X8" s="20"/>
      <c r="Y8" s="21"/>
      <c r="Z8" s="22" t="s">
        <v>23</v>
      </c>
      <c r="AA8" s="19" t="s">
        <v>24</v>
      </c>
      <c r="AB8" s="3" t="s">
        <v>25</v>
      </c>
      <c r="AC8" s="3" t="s">
        <v>26</v>
      </c>
      <c r="AD8" s="3" t="s">
        <v>27</v>
      </c>
      <c r="AE8" s="19" t="s">
        <v>28</v>
      </c>
      <c r="AF8" s="19" t="s">
        <v>29</v>
      </c>
      <c r="AG8" s="23" t="s">
        <v>30</v>
      </c>
      <c r="AH8" s="23" t="s">
        <v>31</v>
      </c>
      <c r="AI8" s="3" t="s">
        <v>32</v>
      </c>
      <c r="AJ8" s="19" t="s">
        <v>33</v>
      </c>
      <c r="AK8" s="19" t="s">
        <v>34</v>
      </c>
      <c r="AL8" s="19" t="s">
        <v>35</v>
      </c>
      <c r="AM8" s="3" t="s">
        <v>36</v>
      </c>
      <c r="AN8" s="496" t="s">
        <v>37</v>
      </c>
      <c r="AO8" s="19" t="s">
        <v>38</v>
      </c>
      <c r="AP8" s="19" t="s">
        <v>39</v>
      </c>
      <c r="AQ8" s="3" t="s">
        <v>3</v>
      </c>
      <c r="AR8" s="19" t="s">
        <v>40</v>
      </c>
      <c r="AS8" s="19" t="s">
        <v>41</v>
      </c>
      <c r="AT8" s="495" t="s">
        <v>22</v>
      </c>
      <c r="AU8" s="495" t="s">
        <v>22</v>
      </c>
      <c r="AV8" s="20"/>
      <c r="AX8" s="24" t="s">
        <v>42</v>
      </c>
      <c r="AY8" s="24" t="s">
        <v>25</v>
      </c>
      <c r="AZ8" s="25" t="s">
        <v>61</v>
      </c>
      <c r="BA8" s="26" t="s">
        <v>62</v>
      </c>
      <c r="BC8" s="3" t="s">
        <v>63</v>
      </c>
      <c r="BD8" s="3" t="s">
        <v>64</v>
      </c>
      <c r="BE8" s="3" t="s">
        <v>43</v>
      </c>
      <c r="BF8" s="3" t="s">
        <v>44</v>
      </c>
      <c r="BG8" s="3" t="s">
        <v>45</v>
      </c>
      <c r="BH8" s="3" t="s">
        <v>46</v>
      </c>
      <c r="BI8" s="3" t="s">
        <v>47</v>
      </c>
      <c r="BJ8" s="3" t="s">
        <v>65</v>
      </c>
      <c r="BK8" s="3" t="s">
        <v>48</v>
      </c>
      <c r="BL8" s="3" t="s">
        <v>49</v>
      </c>
      <c r="BM8" s="27" t="s">
        <v>66</v>
      </c>
      <c r="BN8" s="27" t="s">
        <v>67</v>
      </c>
      <c r="BO8" s="27" t="s">
        <v>68</v>
      </c>
      <c r="BP8" s="27" t="s">
        <v>69</v>
      </c>
      <c r="BQ8" s="27" t="s">
        <v>70</v>
      </c>
      <c r="BR8" s="28"/>
      <c r="BS8" s="19" t="s">
        <v>71</v>
      </c>
      <c r="BT8" s="19" t="s">
        <v>72</v>
      </c>
      <c r="BU8" s="495" t="s">
        <v>226</v>
      </c>
      <c r="BV8" s="495" t="s">
        <v>227</v>
      </c>
      <c r="BW8" s="495" t="s">
        <v>228</v>
      </c>
    </row>
    <row r="9" spans="1:256">
      <c r="A9" s="547"/>
      <c r="B9" s="29" t="s">
        <v>231</v>
      </c>
      <c r="C9" s="30">
        <v>276</v>
      </c>
      <c r="D9" s="31">
        <f>E9-C9</f>
        <v>2097</v>
      </c>
      <c r="E9" s="32">
        <v>2373</v>
      </c>
      <c r="F9" s="30">
        <v>329</v>
      </c>
      <c r="G9" s="31">
        <f>H9-F9</f>
        <v>2042</v>
      </c>
      <c r="H9" s="32">
        <v>2371</v>
      </c>
      <c r="I9" s="33"/>
      <c r="K9" s="34">
        <f>(C9/E9)/(F9/H9)</f>
        <v>0.83819873270339951</v>
      </c>
      <c r="L9" s="35">
        <f>(D9/(C9*E9)+(G9/(F9*H9)))</f>
        <v>5.8195316133438299E-3</v>
      </c>
      <c r="M9" s="36">
        <f>1/L9</f>
        <v>171.8351349285673</v>
      </c>
      <c r="N9" s="37">
        <f>LN(K9)</f>
        <v>-0.17650005541858005</v>
      </c>
      <c r="O9" s="37">
        <f>M9*N9</f>
        <v>-30.328910837751309</v>
      </c>
      <c r="P9" s="37">
        <f>LN(K9)</f>
        <v>-0.17650005541858005</v>
      </c>
      <c r="Q9" s="38">
        <f>K9</f>
        <v>0.83819873270339951</v>
      </c>
      <c r="R9" s="39">
        <f>SQRT(1/M9)</f>
        <v>7.6285854608464793E-2</v>
      </c>
      <c r="S9" s="320">
        <f>$H$2</f>
        <v>1.9599639845400536</v>
      </c>
      <c r="T9" s="41">
        <f>P9-(R9*S9)</f>
        <v>-0.3260175829810299</v>
      </c>
      <c r="U9" s="41">
        <f>P9+(R9*S9)</f>
        <v>-2.6982527856130173E-2</v>
      </c>
      <c r="V9" s="319">
        <f>EXP(T9)</f>
        <v>0.7217924960563743</v>
      </c>
      <c r="W9" s="319">
        <f>EXP(U9)</f>
        <v>0.97337824838055875</v>
      </c>
      <c r="X9" s="44"/>
      <c r="Z9" s="45">
        <f>(N9-P14)^2</f>
        <v>1.0798511496458246E-2</v>
      </c>
      <c r="AA9" s="46">
        <f>M9*Z9</f>
        <v>1.855563680021588</v>
      </c>
      <c r="AB9" s="2">
        <v>1</v>
      </c>
      <c r="AC9" s="28"/>
      <c r="AD9" s="28"/>
      <c r="AE9" s="36">
        <f>M9^2</f>
        <v>29527.313595918931</v>
      </c>
      <c r="AF9" s="47"/>
      <c r="AG9" s="48">
        <f>AG14</f>
        <v>-1.3209424775721985E-4</v>
      </c>
      <c r="AH9" s="48" t="str">
        <f>AH14</f>
        <v>0</v>
      </c>
      <c r="AI9" s="46">
        <f>1/M9</f>
        <v>5.8195316133438299E-3</v>
      </c>
      <c r="AJ9" s="49">
        <f>1/(AH9+AI9)</f>
        <v>171.8351349285673</v>
      </c>
      <c r="AK9" s="50">
        <f>AJ9/AJ14</f>
        <v>0.18815042138213633</v>
      </c>
      <c r="AL9" s="51">
        <f>AJ9*N9</f>
        <v>-30.328910837751309</v>
      </c>
      <c r="AM9" s="51">
        <f>AL9/AJ9</f>
        <v>-0.17650005541858005</v>
      </c>
      <c r="AN9" s="319">
        <f>EXP(AM9)</f>
        <v>0.83819873270339951</v>
      </c>
      <c r="AO9" s="38">
        <f>1/AJ9</f>
        <v>5.8195316133438299E-3</v>
      </c>
      <c r="AP9" s="319">
        <f>SQRT(AO9)</f>
        <v>7.6285854608464793E-2</v>
      </c>
      <c r="AQ9" s="320">
        <f>$H$2</f>
        <v>1.9599639845400536</v>
      </c>
      <c r="AR9" s="41">
        <f>AM9-(AQ9*AP9)</f>
        <v>-0.3260175829810299</v>
      </c>
      <c r="AS9" s="41">
        <f>AM9+(AQ9*AP9)</f>
        <v>-2.6982527856130173E-2</v>
      </c>
      <c r="AT9" s="53">
        <f>EXP(AR9)</f>
        <v>0.7217924960563743</v>
      </c>
      <c r="AU9" s="53">
        <f>EXP(AS9)</f>
        <v>0.97337824838055875</v>
      </c>
      <c r="AV9" s="17"/>
      <c r="AX9" s="54"/>
      <c r="AY9" s="54">
        <v>1</v>
      </c>
      <c r="AZ9" s="55"/>
      <c r="BA9" s="55"/>
      <c r="BC9" s="28"/>
      <c r="BD9" s="28"/>
      <c r="BE9" s="2"/>
      <c r="BF9" s="2"/>
      <c r="BG9" s="2"/>
      <c r="BH9" s="2"/>
      <c r="BI9" s="2"/>
      <c r="BJ9" s="2"/>
      <c r="BK9" s="2"/>
      <c r="BL9" s="2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256">
      <c r="A10" s="547"/>
      <c r="B10" s="29" t="s">
        <v>230</v>
      </c>
      <c r="C10" s="30">
        <v>249</v>
      </c>
      <c r="D10" s="31">
        <f t="shared" ref="D10:D13" si="0">E10-C10</f>
        <v>1614</v>
      </c>
      <c r="E10" s="32">
        <v>1863</v>
      </c>
      <c r="F10" s="30">
        <v>266</v>
      </c>
      <c r="G10" s="31">
        <f t="shared" ref="G10:G13" si="1">H10-F10</f>
        <v>1601</v>
      </c>
      <c r="H10" s="32">
        <v>1867</v>
      </c>
      <c r="I10" s="33"/>
      <c r="K10" s="34">
        <f t="shared" ref="K10:K13" si="2">(C10/E10)/(F10/H10)</f>
        <v>0.93810008112067611</v>
      </c>
      <c r="L10" s="35">
        <f t="shared" ref="L10:L13" si="3">(D10/(C10*E10)+(G10/(F10*H10)))</f>
        <v>6.7030754610293763E-3</v>
      </c>
      <c r="M10" s="36">
        <f t="shared" ref="M10:M13" si="4">1/L10</f>
        <v>149.18525172718736</v>
      </c>
      <c r="N10" s="37">
        <f t="shared" ref="N10:N13" si="5">LN(K10)</f>
        <v>-6.3898639376857275E-2</v>
      </c>
      <c r="O10" s="37">
        <f t="shared" ref="O10:O13" si="6">M10*N10</f>
        <v>-9.5327346004612199</v>
      </c>
      <c r="P10" s="37">
        <f t="shared" ref="P10:P13" si="7">LN(K10)</f>
        <v>-6.3898639376857275E-2</v>
      </c>
      <c r="Q10" s="38">
        <f t="shared" ref="Q10:Q13" si="8">K10</f>
        <v>0.93810008112067611</v>
      </c>
      <c r="R10" s="39">
        <f t="shared" ref="R10:R13" si="9">SQRT(1/M10)</f>
        <v>8.1872311931625433E-2</v>
      </c>
      <c r="S10" s="320">
        <f t="shared" ref="S10:S14" si="10">$H$2</f>
        <v>1.9599639845400536</v>
      </c>
      <c r="T10" s="41">
        <f t="shared" ref="T10:T13" si="11">P10-(R10*S10)</f>
        <v>-0.22436542209387203</v>
      </c>
      <c r="U10" s="41">
        <f t="shared" ref="U10:U13" si="12">P10+(R10*S10)</f>
        <v>9.6568143340157481E-2</v>
      </c>
      <c r="V10" s="319">
        <f t="shared" ref="V10:W13" si="13">EXP(T10)</f>
        <v>0.79902310032039681</v>
      </c>
      <c r="W10" s="319">
        <f t="shared" si="13"/>
        <v>1.1013846306142325</v>
      </c>
      <c r="X10" s="44"/>
      <c r="Z10" s="45">
        <f>(N10-P14)^2</f>
        <v>7.5438420964711147E-5</v>
      </c>
      <c r="AA10" s="46">
        <f t="shared" ref="AA10:AA13" si="14">M10*Z10</f>
        <v>1.125429982152196E-2</v>
      </c>
      <c r="AB10" s="2">
        <v>1</v>
      </c>
      <c r="AC10" s="28"/>
      <c r="AD10" s="28"/>
      <c r="AE10" s="36">
        <f t="shared" ref="AE10:AE13" si="15">M10^2</f>
        <v>22256.239332904261</v>
      </c>
      <c r="AF10" s="47"/>
      <c r="AG10" s="48">
        <f>AG14</f>
        <v>-1.3209424775721985E-4</v>
      </c>
      <c r="AH10" s="48" t="str">
        <f>AH14</f>
        <v>0</v>
      </c>
      <c r="AI10" s="46">
        <f t="shared" ref="AI10:AI13" si="16">1/M10</f>
        <v>6.7030754610293763E-3</v>
      </c>
      <c r="AJ10" s="49">
        <f t="shared" ref="AJ10:AJ13" si="17">1/(AH10+AI10)</f>
        <v>149.18525172718736</v>
      </c>
      <c r="AK10" s="50">
        <f>AJ10/AJ14</f>
        <v>0.16334999235248901</v>
      </c>
      <c r="AL10" s="51">
        <f t="shared" ref="AL10:AL13" si="18">AJ10*N10</f>
        <v>-9.5327346004612199</v>
      </c>
      <c r="AM10" s="51">
        <f t="shared" ref="AM10:AM13" si="19">AL10/AJ10</f>
        <v>-6.3898639376857275E-2</v>
      </c>
      <c r="AN10" s="319">
        <f t="shared" ref="AN10:AN13" si="20">EXP(AM10)</f>
        <v>0.93810008112067611</v>
      </c>
      <c r="AO10" s="38">
        <f t="shared" ref="AO10:AO13" si="21">1/AJ10</f>
        <v>6.7030754610293763E-3</v>
      </c>
      <c r="AP10" s="319">
        <f t="shared" ref="AP10:AP13" si="22">SQRT(AO10)</f>
        <v>8.1872311931625433E-2</v>
      </c>
      <c r="AQ10" s="320">
        <f t="shared" ref="AQ10:AQ14" si="23">$H$2</f>
        <v>1.9599639845400536</v>
      </c>
      <c r="AR10" s="41">
        <f t="shared" ref="AR10:AR13" si="24">AM10-(AQ10*AP10)</f>
        <v>-0.22436542209387203</v>
      </c>
      <c r="AS10" s="41">
        <f t="shared" ref="AS10:AS14" si="25">AM10+(AQ10*AP10)</f>
        <v>9.6568143340157481E-2</v>
      </c>
      <c r="AT10" s="53">
        <f t="shared" ref="AT10:AU13" si="26">EXP(AR10)</f>
        <v>0.79902310032039681</v>
      </c>
      <c r="AU10" s="53">
        <f t="shared" si="26"/>
        <v>1.1013846306142325</v>
      </c>
      <c r="AV10" s="17"/>
      <c r="AX10" s="54"/>
      <c r="AY10" s="54">
        <v>1</v>
      </c>
      <c r="AZ10" s="55"/>
      <c r="BA10" s="55"/>
      <c r="BC10" s="28"/>
      <c r="BD10" s="28"/>
      <c r="BE10" s="2"/>
      <c r="BF10" s="2"/>
      <c r="BG10" s="2"/>
      <c r="BH10" s="2"/>
      <c r="BI10" s="2"/>
      <c r="BJ10" s="2"/>
      <c r="BK10" s="2"/>
      <c r="BL10" s="2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256">
      <c r="A11" s="549" t="s">
        <v>297</v>
      </c>
      <c r="B11" s="29" t="s">
        <v>296</v>
      </c>
      <c r="C11" s="30">
        <v>65</v>
      </c>
      <c r="D11" s="31">
        <f t="shared" si="0"/>
        <v>543</v>
      </c>
      <c r="E11" s="32">
        <v>608</v>
      </c>
      <c r="F11" s="30">
        <v>76</v>
      </c>
      <c r="G11" s="31">
        <f t="shared" si="1"/>
        <v>538</v>
      </c>
      <c r="H11" s="32">
        <v>614</v>
      </c>
      <c r="I11" s="33"/>
      <c r="K11" s="34">
        <f t="shared" si="2"/>
        <v>0.86370325484764543</v>
      </c>
      <c r="L11" s="35">
        <f t="shared" si="3"/>
        <v>2.5269108784238221E-2</v>
      </c>
      <c r="M11" s="36">
        <f t="shared" si="4"/>
        <v>39.574011435803257</v>
      </c>
      <c r="N11" s="37">
        <f t="shared" si="5"/>
        <v>-0.14652602420971853</v>
      </c>
      <c r="O11" s="37">
        <f t="shared" si="6"/>
        <v>-5.7986225577181862</v>
      </c>
      <c r="P11" s="37">
        <f t="shared" si="7"/>
        <v>-0.14652602420971853</v>
      </c>
      <c r="Q11" s="38">
        <f t="shared" si="8"/>
        <v>0.86370325484764543</v>
      </c>
      <c r="R11" s="39">
        <f t="shared" si="9"/>
        <v>0.15896260184155966</v>
      </c>
      <c r="S11" s="320">
        <f t="shared" si="10"/>
        <v>1.9599639845400536</v>
      </c>
      <c r="T11" s="41">
        <f t="shared" si="11"/>
        <v>-0.45808699870795588</v>
      </c>
      <c r="U11" s="41">
        <f t="shared" si="12"/>
        <v>0.16503495028851881</v>
      </c>
      <c r="V11" s="319">
        <f t="shared" si="13"/>
        <v>0.632492447787948</v>
      </c>
      <c r="W11" s="319">
        <f t="shared" si="13"/>
        <v>1.1794343395615028</v>
      </c>
      <c r="X11" s="44"/>
      <c r="Z11" s="45">
        <f>(N11-P14)^2</f>
        <v>5.4673979847992696E-3</v>
      </c>
      <c r="AA11" s="46">
        <f t="shared" si="14"/>
        <v>0.21636687037453398</v>
      </c>
      <c r="AB11" s="2">
        <v>1</v>
      </c>
      <c r="AC11" s="28"/>
      <c r="AD11" s="28"/>
      <c r="AE11" s="36">
        <f t="shared" si="15"/>
        <v>1566.1023811210869</v>
      </c>
      <c r="AF11" s="47"/>
      <c r="AG11" s="48">
        <f>AG14</f>
        <v>-1.3209424775721985E-4</v>
      </c>
      <c r="AH11" s="48" t="str">
        <f>AH14</f>
        <v>0</v>
      </c>
      <c r="AI11" s="46">
        <f t="shared" si="16"/>
        <v>2.5269108784238225E-2</v>
      </c>
      <c r="AJ11" s="49">
        <f t="shared" si="17"/>
        <v>39.574011435803257</v>
      </c>
      <c r="AK11" s="50">
        <f>AJ11/AJ14</f>
        <v>4.333145797291775E-2</v>
      </c>
      <c r="AL11" s="51">
        <f t="shared" si="18"/>
        <v>-5.7986225577181862</v>
      </c>
      <c r="AM11" s="51">
        <f t="shared" si="19"/>
        <v>-0.14652602420971853</v>
      </c>
      <c r="AN11" s="319">
        <f t="shared" si="20"/>
        <v>0.86370325484764543</v>
      </c>
      <c r="AO11" s="38">
        <f t="shared" si="21"/>
        <v>2.5269108784238225E-2</v>
      </c>
      <c r="AP11" s="319">
        <f t="shared" si="22"/>
        <v>0.15896260184155966</v>
      </c>
      <c r="AQ11" s="320">
        <f t="shared" si="23"/>
        <v>1.9599639845400536</v>
      </c>
      <c r="AR11" s="41">
        <f t="shared" si="24"/>
        <v>-0.45808699870795588</v>
      </c>
      <c r="AS11" s="41">
        <f t="shared" si="25"/>
        <v>0.16503495028851881</v>
      </c>
      <c r="AT11" s="53">
        <f t="shared" si="26"/>
        <v>0.632492447787948</v>
      </c>
      <c r="AU11" s="53">
        <f t="shared" si="26"/>
        <v>1.1794343395615028</v>
      </c>
      <c r="AV11" s="17"/>
      <c r="AX11" s="54"/>
      <c r="AY11" s="54">
        <v>1</v>
      </c>
      <c r="AZ11" s="55"/>
      <c r="BA11" s="55"/>
      <c r="BC11" s="28"/>
      <c r="BD11" s="28"/>
      <c r="BE11" s="2"/>
      <c r="BF11" s="2"/>
      <c r="BG11" s="2"/>
      <c r="BH11" s="2"/>
      <c r="BI11" s="2"/>
      <c r="BJ11" s="2"/>
      <c r="BK11" s="2"/>
      <c r="BL11" s="2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256">
      <c r="A12" s="547"/>
      <c r="B12" s="29" t="s">
        <v>370</v>
      </c>
      <c r="C12" s="30">
        <v>422</v>
      </c>
      <c r="D12" s="31">
        <f t="shared" si="0"/>
        <v>2575</v>
      </c>
      <c r="E12" s="32">
        <v>2997</v>
      </c>
      <c r="F12" s="30">
        <v>427</v>
      </c>
      <c r="G12" s="31">
        <f t="shared" si="1"/>
        <v>2564</v>
      </c>
      <c r="H12" s="32">
        <v>2991</v>
      </c>
      <c r="I12" s="33"/>
      <c r="K12" s="34">
        <f t="shared" si="2"/>
        <v>0.98631183877085504</v>
      </c>
      <c r="L12" s="35">
        <f t="shared" si="3"/>
        <v>4.043585278458676E-3</v>
      </c>
      <c r="M12" s="36">
        <f t="shared" si="4"/>
        <v>247.30528259841168</v>
      </c>
      <c r="N12" s="37">
        <f t="shared" si="5"/>
        <v>-1.378270787932806E-2</v>
      </c>
      <c r="O12" s="37">
        <f t="shared" si="6"/>
        <v>-3.4085364670685814</v>
      </c>
      <c r="P12" s="37">
        <f t="shared" si="7"/>
        <v>-1.378270787932806E-2</v>
      </c>
      <c r="Q12" s="38">
        <f t="shared" si="8"/>
        <v>0.98631183877085504</v>
      </c>
      <c r="R12" s="39">
        <f t="shared" si="9"/>
        <v>6.3589191522291547E-2</v>
      </c>
      <c r="S12" s="320">
        <f t="shared" si="10"/>
        <v>1.9599639845400536</v>
      </c>
      <c r="T12" s="41">
        <f t="shared" si="11"/>
        <v>-0.13841523306903919</v>
      </c>
      <c r="U12" s="41">
        <f t="shared" si="12"/>
        <v>0.11084981731038307</v>
      </c>
      <c r="V12" s="319">
        <f t="shared" si="13"/>
        <v>0.87073705784896116</v>
      </c>
      <c r="W12" s="319">
        <f t="shared" si="13"/>
        <v>1.1172271060826835</v>
      </c>
      <c r="X12" s="44"/>
      <c r="Z12" s="45">
        <f>(N12-P14)^2</f>
        <v>3.4576118037273024E-3</v>
      </c>
      <c r="AA12" s="46">
        <f t="shared" si="14"/>
        <v>0.85508566423638444</v>
      </c>
      <c r="AB12" s="2">
        <v>1</v>
      </c>
      <c r="AC12" s="28"/>
      <c r="AD12" s="28"/>
      <c r="AE12" s="36">
        <f t="shared" si="15"/>
        <v>61159.902801080265</v>
      </c>
      <c r="AF12" s="47"/>
      <c r="AG12" s="48">
        <f>AG14</f>
        <v>-1.3209424775721985E-4</v>
      </c>
      <c r="AH12" s="48" t="str">
        <f>AH14</f>
        <v>0</v>
      </c>
      <c r="AI12" s="46">
        <f t="shared" si="16"/>
        <v>4.043585278458676E-3</v>
      </c>
      <c r="AJ12" s="49">
        <f t="shared" si="17"/>
        <v>247.30528259841168</v>
      </c>
      <c r="AK12" s="50">
        <f>AJ12/AJ14</f>
        <v>0.27078625771302506</v>
      </c>
      <c r="AL12" s="51">
        <f t="shared" si="18"/>
        <v>-3.4085364670685814</v>
      </c>
      <c r="AM12" s="51">
        <f t="shared" si="19"/>
        <v>-1.378270787932806E-2</v>
      </c>
      <c r="AN12" s="319">
        <f t="shared" si="20"/>
        <v>0.98631183877085504</v>
      </c>
      <c r="AO12" s="38">
        <f t="shared" si="21"/>
        <v>4.043585278458676E-3</v>
      </c>
      <c r="AP12" s="319">
        <f t="shared" si="22"/>
        <v>6.3589191522291547E-2</v>
      </c>
      <c r="AQ12" s="320">
        <f t="shared" si="23"/>
        <v>1.9599639845400536</v>
      </c>
      <c r="AR12" s="41">
        <f t="shared" si="24"/>
        <v>-0.13841523306903919</v>
      </c>
      <c r="AS12" s="41">
        <f t="shared" si="25"/>
        <v>0.11084981731038307</v>
      </c>
      <c r="AT12" s="53">
        <f t="shared" si="26"/>
        <v>0.87073705784896116</v>
      </c>
      <c r="AU12" s="53">
        <f t="shared" si="26"/>
        <v>1.1172271060826835</v>
      </c>
      <c r="AV12" s="17"/>
      <c r="AX12" s="54"/>
      <c r="AY12" s="54">
        <v>1</v>
      </c>
      <c r="AZ12" s="55"/>
      <c r="BA12" s="55"/>
      <c r="BC12" s="28"/>
      <c r="BD12" s="28"/>
      <c r="BE12" s="2"/>
      <c r="BF12" s="2"/>
      <c r="BG12" s="2"/>
      <c r="BH12" s="2"/>
      <c r="BI12" s="2"/>
      <c r="BJ12" s="2"/>
      <c r="BK12" s="2"/>
      <c r="BL12" s="2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256">
      <c r="A13" s="547"/>
      <c r="B13" s="29" t="s">
        <v>232</v>
      </c>
      <c r="C13" s="30">
        <v>497</v>
      </c>
      <c r="D13" s="31">
        <f t="shared" si="0"/>
        <v>2634</v>
      </c>
      <c r="E13" s="32">
        <v>3131</v>
      </c>
      <c r="F13" s="30">
        <v>526</v>
      </c>
      <c r="G13" s="31">
        <f t="shared" si="1"/>
        <v>2606</v>
      </c>
      <c r="H13" s="32">
        <v>3132</v>
      </c>
      <c r="I13" s="33"/>
      <c r="K13" s="34">
        <f t="shared" si="2"/>
        <v>0.94516869815277849</v>
      </c>
      <c r="L13" s="35">
        <f t="shared" si="3"/>
        <v>3.2745415395874534E-3</v>
      </c>
      <c r="M13" s="36">
        <f t="shared" si="4"/>
        <v>305.38626183559916</v>
      </c>
      <c r="N13" s="37">
        <f t="shared" si="5"/>
        <v>-5.6391850856793234E-2</v>
      </c>
      <c r="O13" s="37">
        <f t="shared" si="6"/>
        <v>-17.221296531146717</v>
      </c>
      <c r="P13" s="37">
        <f t="shared" si="7"/>
        <v>-5.6391850856793234E-2</v>
      </c>
      <c r="Q13" s="38">
        <f t="shared" si="8"/>
        <v>0.94516869815277849</v>
      </c>
      <c r="R13" s="39">
        <f t="shared" si="9"/>
        <v>5.7223609983882123E-2</v>
      </c>
      <c r="S13" s="320">
        <f t="shared" si="10"/>
        <v>1.9599639845400536</v>
      </c>
      <c r="T13" s="41">
        <f t="shared" si="11"/>
        <v>-0.16854806549056883</v>
      </c>
      <c r="U13" s="41">
        <f t="shared" si="12"/>
        <v>5.5764363776982372E-2</v>
      </c>
      <c r="V13" s="319">
        <f t="shared" si="13"/>
        <v>0.8448906523592663</v>
      </c>
      <c r="W13" s="319">
        <f t="shared" si="13"/>
        <v>1.0573485047718914</v>
      </c>
      <c r="X13" s="44"/>
      <c r="Z13" s="45">
        <f>(N13-P218)^2</f>
        <v>3.1800408430548116E-3</v>
      </c>
      <c r="AA13" s="46">
        <f t="shared" si="14"/>
        <v>0.97114078554503613</v>
      </c>
      <c r="AB13" s="2">
        <v>1</v>
      </c>
      <c r="AC13" s="28"/>
      <c r="AD13" s="28"/>
      <c r="AE13" s="36">
        <f t="shared" si="15"/>
        <v>93260.76891792113</v>
      </c>
      <c r="AF13" s="47"/>
      <c r="AG13" s="48">
        <f>AG14</f>
        <v>-1.3209424775721985E-4</v>
      </c>
      <c r="AH13" s="48" t="str">
        <f>AH14</f>
        <v>0</v>
      </c>
      <c r="AI13" s="46">
        <f t="shared" si="16"/>
        <v>3.2745415395874534E-3</v>
      </c>
      <c r="AJ13" s="49">
        <f t="shared" si="17"/>
        <v>305.38626183559916</v>
      </c>
      <c r="AK13" s="50">
        <f>AJ13/AJ14</f>
        <v>0.33438187057943186</v>
      </c>
      <c r="AL13" s="51">
        <f t="shared" si="18"/>
        <v>-17.221296531146717</v>
      </c>
      <c r="AM13" s="51">
        <f t="shared" si="19"/>
        <v>-5.6391850856793241E-2</v>
      </c>
      <c r="AN13" s="319">
        <f t="shared" si="20"/>
        <v>0.94516869815277849</v>
      </c>
      <c r="AO13" s="38">
        <f t="shared" si="21"/>
        <v>3.2745415395874534E-3</v>
      </c>
      <c r="AP13" s="319">
        <f t="shared" si="22"/>
        <v>5.7223609983882123E-2</v>
      </c>
      <c r="AQ13" s="320">
        <f t="shared" si="23"/>
        <v>1.9599639845400536</v>
      </c>
      <c r="AR13" s="41">
        <f t="shared" si="24"/>
        <v>-0.16854806549056883</v>
      </c>
      <c r="AS13" s="41">
        <f t="shared" si="25"/>
        <v>5.5764363776982365E-2</v>
      </c>
      <c r="AT13" s="53">
        <f t="shared" si="26"/>
        <v>0.8448906523592663</v>
      </c>
      <c r="AU13" s="53">
        <f t="shared" si="26"/>
        <v>1.0573485047718914</v>
      </c>
      <c r="AV13" s="17"/>
      <c r="AX13" s="54"/>
      <c r="AY13" s="54">
        <v>1</v>
      </c>
      <c r="AZ13" s="55"/>
      <c r="BA13" s="55"/>
      <c r="BC13" s="28"/>
      <c r="BD13" s="28"/>
      <c r="BE13" s="2"/>
      <c r="BF13" s="2"/>
      <c r="BG13" s="2"/>
      <c r="BH13" s="2"/>
      <c r="BI13" s="2"/>
      <c r="BJ13" s="2"/>
      <c r="BK13" s="2"/>
      <c r="BL13" s="2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256">
      <c r="A14" s="547"/>
      <c r="B14" s="56">
        <f>COUNT(D9:D13)</f>
        <v>5</v>
      </c>
      <c r="C14" s="57">
        <f>SUM(C9:C13)</f>
        <v>1509</v>
      </c>
      <c r="D14" s="57">
        <f>SUM(D9:D13)</f>
        <v>9463</v>
      </c>
      <c r="E14" s="57">
        <f>SUM(E9:E13)</f>
        <v>10972</v>
      </c>
      <c r="F14" s="57">
        <f>SUM(F9:F13)</f>
        <v>1624</v>
      </c>
      <c r="G14" s="57">
        <f>SUM(G9:G13)</f>
        <v>9351</v>
      </c>
      <c r="H14" s="57">
        <f>SUM(H9:H13)</f>
        <v>10975</v>
      </c>
      <c r="I14" s="58"/>
      <c r="K14" s="59"/>
      <c r="L14" s="60"/>
      <c r="M14" s="61">
        <f>SUM(M9:M13)</f>
        <v>913.28594252556877</v>
      </c>
      <c r="N14" s="62"/>
      <c r="O14" s="63">
        <f>SUM(O9:O13)</f>
        <v>-66.290100994146002</v>
      </c>
      <c r="P14" s="64">
        <f>O14/M14</f>
        <v>-7.2584168777228397E-2</v>
      </c>
      <c r="Q14" s="497">
        <f>EXP(P14)</f>
        <v>0.92998746745801864</v>
      </c>
      <c r="R14" s="497">
        <f>SQRT(1/M14)</f>
        <v>3.3089988294003753E-2</v>
      </c>
      <c r="S14" s="520">
        <f t="shared" si="10"/>
        <v>1.9599639845400536</v>
      </c>
      <c r="T14" s="499">
        <f>P14-(R14*S14)</f>
        <v>-0.13743935408232771</v>
      </c>
      <c r="U14" s="499">
        <f>P14+(R14*S14)</f>
        <v>-7.7289834721290668E-3</v>
      </c>
      <c r="V14" s="497">
        <f>EXP(T14)</f>
        <v>0.87158720660034872</v>
      </c>
      <c r="W14" s="542">
        <f>EXP(U14)</f>
        <v>0.99230080831779988</v>
      </c>
      <c r="X14" s="66"/>
      <c r="Y14" s="66"/>
      <c r="Z14" s="67"/>
      <c r="AA14" s="68">
        <f>SUM(AA9:AA13)</f>
        <v>3.9094112999990647</v>
      </c>
      <c r="AB14" s="69">
        <f>SUM(AB9:AB13)</f>
        <v>5</v>
      </c>
      <c r="AC14" s="70">
        <f>AA14-(AB14-1)</f>
        <v>-9.0588700000935329E-2</v>
      </c>
      <c r="AD14" s="61">
        <f>M14</f>
        <v>913.28594252556877</v>
      </c>
      <c r="AE14" s="61">
        <f>SUM(AE9:AE13)</f>
        <v>207770.32702894567</v>
      </c>
      <c r="AF14" s="71">
        <f>AE14/AD14</f>
        <v>227.49756385649047</v>
      </c>
      <c r="AG14" s="72">
        <f>AC14/(AD14-AF14)</f>
        <v>-1.3209424775721985E-4</v>
      </c>
      <c r="AH14" s="72" t="str">
        <f>IF(AA14&lt;AB14-1,"0",AG14)</f>
        <v>0</v>
      </c>
      <c r="AI14" s="67"/>
      <c r="AJ14" s="61">
        <f>SUM(AJ9:AJ13)</f>
        <v>913.28594252556877</v>
      </c>
      <c r="AK14" s="73">
        <f>SUM(AK9:AK13)</f>
        <v>1</v>
      </c>
      <c r="AL14" s="70">
        <f>SUM(AL9:AL13)</f>
        <v>-66.290100994146002</v>
      </c>
      <c r="AM14" s="70">
        <f>AL14/AJ14</f>
        <v>-7.2584168777228397E-2</v>
      </c>
      <c r="AN14" s="497">
        <f>EXP(AM14)</f>
        <v>0.92998746745801864</v>
      </c>
      <c r="AO14" s="64">
        <f>1/AJ14</f>
        <v>1.0949473252973053E-3</v>
      </c>
      <c r="AP14" s="63">
        <f>SQRT(AO14)</f>
        <v>3.3089988294003753E-2</v>
      </c>
      <c r="AQ14" s="320">
        <f t="shared" si="23"/>
        <v>1.9599639845400536</v>
      </c>
      <c r="AR14" s="65">
        <f>AM14-(AQ14*AP14)</f>
        <v>-0.13743935408232771</v>
      </c>
      <c r="AS14" s="65">
        <f t="shared" si="25"/>
        <v>-7.7289834721290668E-3</v>
      </c>
      <c r="AT14" s="519">
        <f>EXP(AR14)</f>
        <v>0.87158720660034872</v>
      </c>
      <c r="AU14" s="541">
        <f>EXP(AS14)</f>
        <v>0.99230080831779988</v>
      </c>
      <c r="AV14" s="76"/>
      <c r="AW14" s="77"/>
      <c r="AX14" s="78">
        <f>AA14</f>
        <v>3.9094112999990647</v>
      </c>
      <c r="AY14" s="56">
        <f>SUM(AY9:AY13)</f>
        <v>5</v>
      </c>
      <c r="AZ14" s="79">
        <f>(AX14-(AY14-1))/AX14</f>
        <v>-2.3171954304464462E-2</v>
      </c>
      <c r="BA14" s="80" t="str">
        <f>IF(AA14&lt;AB14-1,"0%",AZ14)</f>
        <v>0%</v>
      </c>
      <c r="BB14" s="77"/>
      <c r="BC14" s="63">
        <f>AX14/(AY14-1)</f>
        <v>0.97735282499976617</v>
      </c>
      <c r="BD14" s="81">
        <f>LN(BC14)</f>
        <v>-2.2907561118397118E-2</v>
      </c>
      <c r="BE14" s="63">
        <f>LN(AX14)</f>
        <v>1.3633868000014935</v>
      </c>
      <c r="BF14" s="63">
        <f>LN(AY14-1)</f>
        <v>1.3862943611198906</v>
      </c>
      <c r="BG14" s="63">
        <f>SQRT(2*AX14)</f>
        <v>2.7962157642067127</v>
      </c>
      <c r="BH14" s="63">
        <f>SQRT(2*AY14-3)</f>
        <v>2.6457513110645907</v>
      </c>
      <c r="BI14" s="63">
        <f>2*(AY14-2)</f>
        <v>6</v>
      </c>
      <c r="BJ14" s="63">
        <f>3*(AY14-2)^2</f>
        <v>27</v>
      </c>
      <c r="BK14" s="63">
        <f>1/BI14</f>
        <v>0.16666666666666666</v>
      </c>
      <c r="BL14" s="82">
        <f>1/BJ14</f>
        <v>3.7037037037037035E-2</v>
      </c>
      <c r="BM14" s="82">
        <f>SQRT(BK14*(1-BL14))</f>
        <v>0.40061680838488767</v>
      </c>
      <c r="BN14" s="83">
        <f>0.5*(BE14-BF14)/(BG14-BH14)</f>
        <v>-7.6122833799022405E-2</v>
      </c>
      <c r="BO14" s="83">
        <f>IF(AA14&lt;=AB14,BM14,BN14)</f>
        <v>0.40061680838488767</v>
      </c>
      <c r="BP14" s="70">
        <f>BD14-(1.96*BO14)</f>
        <v>-0.80811650555277692</v>
      </c>
      <c r="BQ14" s="70">
        <f>BD14+(1.96*BO14)</f>
        <v>0.76230138331598274</v>
      </c>
      <c r="BR14" s="70"/>
      <c r="BS14" s="81">
        <f>EXP(BP14)</f>
        <v>0.44569674349452892</v>
      </c>
      <c r="BT14" s="81">
        <f>EXP(BQ14)</f>
        <v>2.1432028806078751</v>
      </c>
      <c r="BU14" s="84" t="str">
        <f>BA14</f>
        <v>0%</v>
      </c>
      <c r="BV14" s="84">
        <f>(BS14-1)/BS14</f>
        <v>-1.2436780492480204</v>
      </c>
      <c r="BW14" s="84">
        <f>(BT14-1)/BT14</f>
        <v>0.53340861518608507</v>
      </c>
    </row>
    <row r="15" spans="1:256" ht="13.5" thickBot="1">
      <c r="A15" s="424"/>
      <c r="C15" s="85"/>
      <c r="D15" s="85"/>
      <c r="E15" s="85"/>
      <c r="F15" s="85"/>
      <c r="G15" s="85"/>
      <c r="H15" s="85"/>
      <c r="I15" s="86"/>
      <c r="R15" s="87"/>
      <c r="S15" s="87"/>
      <c r="T15" s="87"/>
      <c r="U15" s="87"/>
      <c r="V15" s="87"/>
      <c r="W15" s="87"/>
      <c r="X15" s="87"/>
      <c r="AB15" s="88"/>
      <c r="AC15" s="89"/>
      <c r="AD15" s="90"/>
      <c r="AE15" s="89"/>
      <c r="AF15" s="91"/>
      <c r="AG15" s="91"/>
      <c r="AH15" s="91"/>
      <c r="AI15" s="91"/>
      <c r="AT15" s="92"/>
      <c r="AU15" s="92"/>
      <c r="AV15" s="92"/>
      <c r="AX15" s="5" t="s">
        <v>56</v>
      </c>
      <c r="BG15" s="11"/>
      <c r="BN15" s="89" t="s">
        <v>57</v>
      </c>
      <c r="BT15" s="93" t="s">
        <v>58</v>
      </c>
      <c r="BU15" s="504" t="str">
        <f>BU14</f>
        <v>0%</v>
      </c>
      <c r="BV15" s="504" t="str">
        <f>IF(BV14&lt;0,"0%",BV14)</f>
        <v>0%</v>
      </c>
      <c r="BW15" s="505">
        <f>IF(BW14&lt;0,"0%",BW14)</f>
        <v>0.53340861518608507</v>
      </c>
    </row>
    <row r="16" spans="1:256" s="15" customFormat="1" ht="26.5" thickBot="1">
      <c r="A16" s="599"/>
      <c r="B16" s="570"/>
      <c r="C16" s="571"/>
      <c r="D16" s="571"/>
      <c r="E16" s="571"/>
      <c r="F16" s="571"/>
      <c r="G16" s="571"/>
      <c r="H16" s="571"/>
      <c r="I16" s="573"/>
      <c r="J16" s="570"/>
      <c r="K16" s="570"/>
      <c r="L16" s="570"/>
      <c r="R16" s="574"/>
      <c r="S16" s="574"/>
      <c r="T16" s="574"/>
      <c r="U16" s="574"/>
      <c r="V16" s="574"/>
      <c r="W16" s="574"/>
      <c r="X16" s="574"/>
      <c r="AI16" s="575"/>
      <c r="AJ16" s="576"/>
      <c r="AK16" s="576"/>
      <c r="AL16" s="577"/>
      <c r="AM16" s="578"/>
      <c r="AO16" s="100" t="s">
        <v>59</v>
      </c>
      <c r="AP16" s="101">
        <f>TINV((1-$H$1),(AB14-2))</f>
        <v>3.1824463052837078</v>
      </c>
      <c r="AR16" s="579" t="s">
        <v>60</v>
      </c>
      <c r="AS16" s="102">
        <f>$H$1</f>
        <v>0.95</v>
      </c>
      <c r="AT16" s="507">
        <f>EXP(AM14-AP16*SQRT((1/AD14)+AH14))</f>
        <v>0.83703342101197487</v>
      </c>
      <c r="AU16" s="507">
        <f>EXP(AM14+AP16*SQRT((1/AD14)+AH14))</f>
        <v>1.0332642256785181</v>
      </c>
      <c r="AV16" s="17"/>
      <c r="AX16" s="103">
        <f>_xlfn.CHISQ.DIST.RT(AX14,AY14-1)</f>
        <v>0.41840449836776827</v>
      </c>
      <c r="AY16" s="104" t="str">
        <f>IF(AX16&lt;0.05,"heterogeneidad","homogeneidad")</f>
        <v>homogeneidad</v>
      </c>
      <c r="BF16" s="580"/>
      <c r="BG16" s="575"/>
      <c r="BH16" s="575"/>
      <c r="BJ16" s="581"/>
      <c r="BL16" s="575"/>
      <c r="BM16" s="582"/>
      <c r="BQ16" s="575"/>
    </row>
    <row r="17" spans="1:256" ht="14.5">
      <c r="A17" s="547"/>
      <c r="B17" s="5"/>
      <c r="C17" s="94"/>
      <c r="D17" s="94"/>
      <c r="E17" s="94"/>
      <c r="F17" s="94"/>
      <c r="G17" s="94"/>
      <c r="H17" s="94"/>
      <c r="I17" s="95"/>
      <c r="J17" s="5"/>
      <c r="K17" s="5"/>
      <c r="L17" s="5"/>
      <c r="R17" s="96"/>
      <c r="S17" s="96"/>
      <c r="T17" s="96"/>
      <c r="U17" s="96"/>
      <c r="V17" s="96"/>
      <c r="W17" s="96"/>
      <c r="X17" s="96"/>
      <c r="AF17" s="1"/>
      <c r="AI17" s="11"/>
      <c r="AJ17" s="97"/>
      <c r="AK17" s="97"/>
      <c r="AL17" s="98"/>
      <c r="AM17" s="99"/>
      <c r="AN17" s="107"/>
      <c r="AO17" s="108"/>
      <c r="AP17" s="14"/>
      <c r="AS17" s="109"/>
      <c r="AT17" s="17"/>
      <c r="AU17" s="17"/>
      <c r="AV17" s="17"/>
      <c r="BF17" s="105"/>
      <c r="BG17" s="11"/>
      <c r="BH17" s="11"/>
      <c r="BJ17" s="44"/>
      <c r="BL17" s="11"/>
      <c r="BM17" s="110"/>
      <c r="BQ17" s="11"/>
    </row>
    <row r="18" spans="1:256" ht="13" customHeight="1">
      <c r="A18" s="424"/>
      <c r="C18" s="85"/>
      <c r="D18" s="85"/>
      <c r="E18" s="85"/>
      <c r="F18" s="85"/>
      <c r="G18" s="85"/>
      <c r="H18" s="85"/>
      <c r="I18" s="86"/>
      <c r="J18" s="619" t="s">
        <v>4</v>
      </c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1"/>
      <c r="X18" s="12"/>
      <c r="Y18" s="619" t="s">
        <v>5</v>
      </c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1"/>
      <c r="AV18" s="12"/>
      <c r="AW18" s="619" t="s">
        <v>229</v>
      </c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0"/>
      <c r="BT18" s="620"/>
      <c r="BU18" s="620"/>
      <c r="BV18" s="620"/>
      <c r="BW18" s="621"/>
    </row>
    <row r="19" spans="1:256">
      <c r="A19" s="548" t="s">
        <v>472</v>
      </c>
      <c r="B19" s="13" t="s">
        <v>6</v>
      </c>
      <c r="C19" s="618" t="s">
        <v>7</v>
      </c>
      <c r="D19" s="618"/>
      <c r="E19" s="618"/>
      <c r="F19" s="618" t="s">
        <v>8</v>
      </c>
      <c r="G19" s="618"/>
      <c r="H19" s="618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60">
      <c r="A20" s="553" t="s">
        <v>371</v>
      </c>
      <c r="B20" s="512" t="s">
        <v>381</v>
      </c>
      <c r="C20" s="16" t="s">
        <v>9</v>
      </c>
      <c r="D20" s="16" t="s">
        <v>10</v>
      </c>
      <c r="E20" s="16" t="s">
        <v>11</v>
      </c>
      <c r="F20" s="16" t="s">
        <v>9</v>
      </c>
      <c r="G20" s="16" t="s">
        <v>10</v>
      </c>
      <c r="H20" s="16" t="s">
        <v>11</v>
      </c>
      <c r="I20" s="17"/>
      <c r="K20" s="18" t="s">
        <v>12</v>
      </c>
      <c r="L20" s="18" t="s">
        <v>13</v>
      </c>
      <c r="M20" s="18" t="s">
        <v>14</v>
      </c>
      <c r="N20" s="19" t="s">
        <v>15</v>
      </c>
      <c r="O20" s="19" t="s">
        <v>16</v>
      </c>
      <c r="P20" s="19" t="s">
        <v>17</v>
      </c>
      <c r="Q20" s="495" t="s">
        <v>18</v>
      </c>
      <c r="R20" s="495" t="s">
        <v>19</v>
      </c>
      <c r="S20" s="496" t="s">
        <v>3</v>
      </c>
      <c r="T20" s="495" t="s">
        <v>20</v>
      </c>
      <c r="U20" s="495" t="s">
        <v>21</v>
      </c>
      <c r="V20" s="495" t="s">
        <v>22</v>
      </c>
      <c r="W20" s="495" t="s">
        <v>22</v>
      </c>
      <c r="X20" s="20"/>
      <c r="Y20" s="21"/>
      <c r="Z20" s="22" t="s">
        <v>23</v>
      </c>
      <c r="AA20" s="19" t="s">
        <v>24</v>
      </c>
      <c r="AB20" s="3" t="s">
        <v>25</v>
      </c>
      <c r="AC20" s="3" t="s">
        <v>26</v>
      </c>
      <c r="AD20" s="3" t="s">
        <v>27</v>
      </c>
      <c r="AE20" s="19" t="s">
        <v>28</v>
      </c>
      <c r="AF20" s="19" t="s">
        <v>29</v>
      </c>
      <c r="AG20" s="23" t="s">
        <v>30</v>
      </c>
      <c r="AH20" s="23" t="s">
        <v>31</v>
      </c>
      <c r="AI20" s="3" t="s">
        <v>32</v>
      </c>
      <c r="AJ20" s="19" t="s">
        <v>33</v>
      </c>
      <c r="AK20" s="19" t="s">
        <v>34</v>
      </c>
      <c r="AL20" s="19" t="s">
        <v>35</v>
      </c>
      <c r="AM20" s="3" t="s">
        <v>36</v>
      </c>
      <c r="AN20" s="496" t="s">
        <v>37</v>
      </c>
      <c r="AO20" s="19" t="s">
        <v>38</v>
      </c>
      <c r="AP20" s="19" t="s">
        <v>39</v>
      </c>
      <c r="AQ20" s="3" t="s">
        <v>3</v>
      </c>
      <c r="AR20" s="19" t="s">
        <v>40</v>
      </c>
      <c r="AS20" s="19" t="s">
        <v>41</v>
      </c>
      <c r="AT20" s="495" t="s">
        <v>22</v>
      </c>
      <c r="AU20" s="495" t="s">
        <v>22</v>
      </c>
      <c r="AV20" s="20"/>
      <c r="AX20" s="24" t="s">
        <v>42</v>
      </c>
      <c r="AY20" s="24" t="s">
        <v>25</v>
      </c>
      <c r="AZ20" s="25" t="s">
        <v>61</v>
      </c>
      <c r="BA20" s="26" t="s">
        <v>62</v>
      </c>
      <c r="BC20" s="3" t="s">
        <v>63</v>
      </c>
      <c r="BD20" s="3" t="s">
        <v>64</v>
      </c>
      <c r="BE20" s="3" t="s">
        <v>43</v>
      </c>
      <c r="BF20" s="3" t="s">
        <v>44</v>
      </c>
      <c r="BG20" s="3" t="s">
        <v>45</v>
      </c>
      <c r="BH20" s="3" t="s">
        <v>46</v>
      </c>
      <c r="BI20" s="3" t="s">
        <v>47</v>
      </c>
      <c r="BJ20" s="3" t="s">
        <v>65</v>
      </c>
      <c r="BK20" s="3" t="s">
        <v>48</v>
      </c>
      <c r="BL20" s="3" t="s">
        <v>49</v>
      </c>
      <c r="BM20" s="27" t="s">
        <v>66</v>
      </c>
      <c r="BN20" s="27" t="s">
        <v>67</v>
      </c>
      <c r="BO20" s="27" t="s">
        <v>68</v>
      </c>
      <c r="BP20" s="27" t="s">
        <v>69</v>
      </c>
      <c r="BQ20" s="27" t="s">
        <v>70</v>
      </c>
      <c r="BR20" s="28"/>
      <c r="BS20" s="19" t="s">
        <v>71</v>
      </c>
      <c r="BT20" s="19" t="s">
        <v>72</v>
      </c>
      <c r="BU20" s="495" t="s">
        <v>226</v>
      </c>
      <c r="BV20" s="495" t="s">
        <v>227</v>
      </c>
      <c r="BW20" s="495" t="s">
        <v>228</v>
      </c>
    </row>
    <row r="21" spans="1:256">
      <c r="A21" s="547"/>
      <c r="B21" s="29" t="s">
        <v>231</v>
      </c>
      <c r="C21" s="30">
        <v>227</v>
      </c>
      <c r="D21" s="31">
        <f>E21-C21</f>
        <v>2146</v>
      </c>
      <c r="E21" s="32">
        <v>2373</v>
      </c>
      <c r="F21" s="30">
        <v>273</v>
      </c>
      <c r="G21" s="31">
        <f>H21-F21</f>
        <v>2098</v>
      </c>
      <c r="H21" s="32">
        <v>2371</v>
      </c>
      <c r="I21" s="33"/>
      <c r="K21" s="34">
        <f>(C21/E21)/(F21/H21)</f>
        <v>0.83080102928396238</v>
      </c>
      <c r="L21" s="35">
        <f>(D21/(C21*E21)+(G21/(F21*H21)))</f>
        <v>7.2251195363511756E-3</v>
      </c>
      <c r="M21" s="36">
        <f>1/L21</f>
        <v>138.40601459516049</v>
      </c>
      <c r="N21" s="37">
        <f>LN(K21)</f>
        <v>-0.18536494807391501</v>
      </c>
      <c r="O21" s="37">
        <f>M21*N21</f>
        <v>-25.655623708549449</v>
      </c>
      <c r="P21" s="37">
        <f>LN(K21)</f>
        <v>-0.18536494807391501</v>
      </c>
      <c r="Q21" s="38">
        <f>K21</f>
        <v>0.83080102928396238</v>
      </c>
      <c r="R21" s="39">
        <f>SQRT(1/M21)</f>
        <v>8.5000703152098539E-2</v>
      </c>
      <c r="S21" s="320">
        <f>$H$2</f>
        <v>1.9599639845400536</v>
      </c>
      <c r="T21" s="41">
        <f>P21-(R21*S21)</f>
        <v>-0.35196326491260832</v>
      </c>
      <c r="U21" s="41">
        <f>P21+(R21*S21)</f>
        <v>-1.8766631235221681E-2</v>
      </c>
      <c r="V21" s="319">
        <f>EXP(T21)</f>
        <v>0.70330595750761493</v>
      </c>
      <c r="W21" s="319">
        <f>EXP(U21)</f>
        <v>0.98140836557867206</v>
      </c>
      <c r="X21" s="44"/>
      <c r="Z21" s="45">
        <f>(N21-P26)^2</f>
        <v>3.5405225046185305E-3</v>
      </c>
      <c r="AA21" s="46">
        <f>M21*Z21</f>
        <v>0.49002960944872648</v>
      </c>
      <c r="AB21" s="2">
        <v>1</v>
      </c>
      <c r="AC21" s="28"/>
      <c r="AD21" s="28"/>
      <c r="AE21" s="36">
        <f>M21^2</f>
        <v>19156.224876115779</v>
      </c>
      <c r="AF21" s="47"/>
      <c r="AG21" s="48">
        <f>AG26</f>
        <v>-4.1427270213090566E-3</v>
      </c>
      <c r="AH21" s="48" t="str">
        <f>AH26</f>
        <v>0</v>
      </c>
      <c r="AI21" s="46">
        <f>1/M21</f>
        <v>7.2251195363511756E-3</v>
      </c>
      <c r="AJ21" s="49">
        <f>1/(AH21+AI21)</f>
        <v>138.40601459516049</v>
      </c>
      <c r="AK21" s="50">
        <f>AJ21/AJ26</f>
        <v>0.25890432572491817</v>
      </c>
      <c r="AL21" s="51">
        <f>AJ21*N21</f>
        <v>-25.655623708549449</v>
      </c>
      <c r="AM21" s="51">
        <f>AL21/AJ21</f>
        <v>-0.18536494807391501</v>
      </c>
      <c r="AN21" s="319">
        <f>EXP(AM21)</f>
        <v>0.83080102928396238</v>
      </c>
      <c r="AO21" s="38">
        <f>1/AJ21</f>
        <v>7.2251195363511756E-3</v>
      </c>
      <c r="AP21" s="319">
        <f>SQRT(AO21)</f>
        <v>8.5000703152098539E-2</v>
      </c>
      <c r="AQ21" s="320">
        <f>$H$2</f>
        <v>1.9599639845400536</v>
      </c>
      <c r="AR21" s="41">
        <f>AM21-(AQ21*AP21)</f>
        <v>-0.35196326491260832</v>
      </c>
      <c r="AS21" s="41">
        <f>AM21+(1.96*AP21)</f>
        <v>-1.8763569895801885E-2</v>
      </c>
      <c r="AT21" s="53">
        <f>EXP(AR21)</f>
        <v>0.70330595750761493</v>
      </c>
      <c r="AU21" s="53">
        <f>EXP(AS21)</f>
        <v>0.98141137000738732</v>
      </c>
      <c r="AV21" s="17"/>
      <c r="AX21" s="54"/>
      <c r="AY21" s="54">
        <v>1</v>
      </c>
      <c r="AZ21" s="55"/>
      <c r="BA21" s="55"/>
      <c r="BC21" s="28"/>
      <c r="BD21" s="28"/>
      <c r="BE21" s="2"/>
      <c r="BF21" s="2"/>
      <c r="BG21" s="2"/>
      <c r="BH21" s="2"/>
      <c r="BI21" s="2"/>
      <c r="BJ21" s="2"/>
      <c r="BK21" s="2"/>
      <c r="BL21" s="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256">
      <c r="A22" s="547"/>
      <c r="B22" s="29" t="s">
        <v>230</v>
      </c>
      <c r="C22" s="30">
        <v>187</v>
      </c>
      <c r="D22" s="31">
        <f t="shared" ref="D22:D23" si="27">E22-C22</f>
        <v>1676</v>
      </c>
      <c r="E22" s="32">
        <v>1863</v>
      </c>
      <c r="F22" s="30">
        <v>202</v>
      </c>
      <c r="G22" s="31">
        <f t="shared" ref="G22:G23" si="28">H22-F22</f>
        <v>1665</v>
      </c>
      <c r="H22" s="32">
        <v>1867</v>
      </c>
      <c r="I22" s="33"/>
      <c r="K22" s="34">
        <f t="shared" ref="K22:K25" si="29">(C22/E22)/(F22/H22)</f>
        <v>0.92773021263479016</v>
      </c>
      <c r="L22" s="35">
        <f t="shared" ref="L22:L25" si="30">(D22/(C22*E22)+(G22/(F22*H22)))</f>
        <v>9.2257013401533146E-3</v>
      </c>
      <c r="M22" s="36">
        <f t="shared" ref="M22:M25" si="31">1/L22</f>
        <v>108.39284333296897</v>
      </c>
      <c r="N22" s="37">
        <f t="shared" ref="N22:N25" si="32">LN(K22)</f>
        <v>-7.5014307606483852E-2</v>
      </c>
      <c r="O22" s="37">
        <f t="shared" ref="O22:O25" si="33">M22*N22</f>
        <v>-8.131014092120747</v>
      </c>
      <c r="P22" s="37">
        <f t="shared" ref="P22:P25" si="34">LN(K22)</f>
        <v>-7.5014307606483852E-2</v>
      </c>
      <c r="Q22" s="38">
        <f t="shared" ref="Q22:Q25" si="35">K22</f>
        <v>0.92773021263479016</v>
      </c>
      <c r="R22" s="39">
        <f t="shared" ref="R22:R25" si="36">SQRT(1/M22)</f>
        <v>9.6050514523105576E-2</v>
      </c>
      <c r="S22" s="320">
        <f t="shared" ref="S22:S26" si="37">$H$2</f>
        <v>1.9599639845400536</v>
      </c>
      <c r="T22" s="41">
        <f t="shared" ref="T22:T25" si="38">P22-(R22*S22)</f>
        <v>-0.26326985676831216</v>
      </c>
      <c r="U22" s="41">
        <f t="shared" ref="U22:U25" si="39">P22+(R22*S22)</f>
        <v>0.11324124155534444</v>
      </c>
      <c r="V22" s="319">
        <f t="shared" ref="V22:W25" si="40">EXP(T22)</f>
        <v>0.76853447509548889</v>
      </c>
      <c r="W22" s="319">
        <f t="shared" si="40"/>
        <v>1.1199020672800069</v>
      </c>
      <c r="X22" s="44"/>
      <c r="Z22" s="45">
        <f>(N22-P26)^2</f>
        <v>2.5855547543389068E-3</v>
      </c>
      <c r="AA22" s="46">
        <f t="shared" ref="AA22:AA25" si="41">M22*Z22</f>
        <v>0.28025563141587018</v>
      </c>
      <c r="AB22" s="2">
        <v>1</v>
      </c>
      <c r="AC22" s="28"/>
      <c r="AD22" s="28"/>
      <c r="AE22" s="36">
        <f t="shared" ref="AE22:AE25" si="42">M22^2</f>
        <v>11749.008485805554</v>
      </c>
      <c r="AF22" s="47"/>
      <c r="AG22" s="48">
        <f>AG26</f>
        <v>-4.1427270213090566E-3</v>
      </c>
      <c r="AH22" s="48" t="str">
        <f>AH26</f>
        <v>0</v>
      </c>
      <c r="AI22" s="46">
        <f t="shared" ref="AI22:AI25" si="43">1/M22</f>
        <v>9.2257013401533146E-3</v>
      </c>
      <c r="AJ22" s="49">
        <f t="shared" ref="AJ22:AJ25" si="44">1/(AH22+AI22)</f>
        <v>108.39284333296897</v>
      </c>
      <c r="AK22" s="50">
        <f>AJ22/AJ26</f>
        <v>0.20276124631299286</v>
      </c>
      <c r="AL22" s="51">
        <f t="shared" ref="AL22:AL25" si="45">AJ22*N22</f>
        <v>-8.131014092120747</v>
      </c>
      <c r="AM22" s="51">
        <f t="shared" ref="AM22:AM25" si="46">AL22/AJ22</f>
        <v>-7.5014307606483852E-2</v>
      </c>
      <c r="AN22" s="319">
        <f t="shared" ref="AN22:AN25" si="47">EXP(AM22)</f>
        <v>0.92773021263479016</v>
      </c>
      <c r="AO22" s="38">
        <f t="shared" ref="AO22:AO25" si="48">1/AJ22</f>
        <v>9.2257013401533146E-3</v>
      </c>
      <c r="AP22" s="319">
        <f t="shared" ref="AP22:AP25" si="49">SQRT(AO22)</f>
        <v>9.6050514523105576E-2</v>
      </c>
      <c r="AQ22" s="320">
        <f t="shared" ref="AQ22:AQ26" si="50">$H$2</f>
        <v>1.9599639845400536</v>
      </c>
      <c r="AR22" s="41">
        <f t="shared" ref="AR22:AR25" si="51">AM22-(AQ22*AP22)</f>
        <v>-0.26326985676831216</v>
      </c>
      <c r="AS22" s="41">
        <f t="shared" ref="AS22:AS25" si="52">AM22+(1.96*AP22)</f>
        <v>0.11324470085880307</v>
      </c>
      <c r="AT22" s="53">
        <f t="shared" ref="AT22:AU25" si="53">EXP(AR22)</f>
        <v>0.76853447509548889</v>
      </c>
      <c r="AU22" s="53">
        <f t="shared" si="53"/>
        <v>1.1199059413678023</v>
      </c>
      <c r="AV22" s="17"/>
      <c r="AX22" s="54"/>
      <c r="AY22" s="54">
        <v>1</v>
      </c>
      <c r="AZ22" s="55"/>
      <c r="BA22" s="55"/>
      <c r="BC22" s="28"/>
      <c r="BD22" s="28"/>
      <c r="BE22" s="2"/>
      <c r="BF22" s="2"/>
      <c r="BG22" s="2"/>
      <c r="BH22" s="2"/>
      <c r="BI22" s="2"/>
      <c r="BJ22" s="2"/>
      <c r="BK22" s="2"/>
      <c r="BL22" s="2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256">
      <c r="A23" s="550" t="s">
        <v>297</v>
      </c>
      <c r="B23" s="29" t="s">
        <v>296</v>
      </c>
      <c r="C23" s="30">
        <v>51</v>
      </c>
      <c r="D23" s="31">
        <f t="shared" si="27"/>
        <v>557</v>
      </c>
      <c r="E23" s="32">
        <v>608</v>
      </c>
      <c r="F23" s="30">
        <v>58</v>
      </c>
      <c r="G23" s="31">
        <f t="shared" si="28"/>
        <v>556</v>
      </c>
      <c r="H23" s="32">
        <v>614</v>
      </c>
      <c r="I23" s="33"/>
      <c r="K23" s="34">
        <f t="shared" si="29"/>
        <v>0.88798774954627946</v>
      </c>
      <c r="L23" s="35">
        <f t="shared" si="30"/>
        <v>3.357582111038046E-2</v>
      </c>
      <c r="M23" s="36">
        <f t="shared" si="31"/>
        <v>29.783337143490893</v>
      </c>
      <c r="N23" s="37">
        <f t="shared" si="32"/>
        <v>-0.11879733164111815</v>
      </c>
      <c r="O23" s="37">
        <f t="shared" si="33"/>
        <v>-3.5381809800145203</v>
      </c>
      <c r="P23" s="37">
        <f t="shared" si="34"/>
        <v>-0.11879733164111815</v>
      </c>
      <c r="Q23" s="38">
        <f t="shared" si="35"/>
        <v>0.88798774954627946</v>
      </c>
      <c r="R23" s="39">
        <f t="shared" si="36"/>
        <v>0.18323706260028416</v>
      </c>
      <c r="S23" s="320">
        <f t="shared" si="37"/>
        <v>1.9599639845400536</v>
      </c>
      <c r="T23" s="41">
        <f t="shared" si="38"/>
        <v>-0.47793537497058636</v>
      </c>
      <c r="U23" s="41">
        <f t="shared" si="39"/>
        <v>0.24034071168835003</v>
      </c>
      <c r="V23" s="319">
        <f t="shared" si="40"/>
        <v>0.62006226722946756</v>
      </c>
      <c r="W23" s="319">
        <f t="shared" si="40"/>
        <v>1.2716823535602371</v>
      </c>
      <c r="X23" s="44"/>
      <c r="Z23" s="45">
        <f>(N23-P26)^2</f>
        <v>4.991883886366258E-5</v>
      </c>
      <c r="AA23" s="46">
        <f t="shared" si="41"/>
        <v>1.4867496076880584E-3</v>
      </c>
      <c r="AB23" s="2">
        <v>1</v>
      </c>
      <c r="AC23" s="28"/>
      <c r="AD23" s="28"/>
      <c r="AE23" s="36">
        <f t="shared" si="42"/>
        <v>887.04717140284424</v>
      </c>
      <c r="AF23" s="47"/>
      <c r="AG23" s="48">
        <f>AG26</f>
        <v>-4.1427270213090566E-3</v>
      </c>
      <c r="AH23" s="48" t="str">
        <f>AH26</f>
        <v>0</v>
      </c>
      <c r="AI23" s="46">
        <f t="shared" si="43"/>
        <v>3.357582111038046E-2</v>
      </c>
      <c r="AJ23" s="49">
        <f t="shared" si="44"/>
        <v>29.783337143490893</v>
      </c>
      <c r="AK23" s="50">
        <f>AJ23/AJ26</f>
        <v>5.5713148330499243E-2</v>
      </c>
      <c r="AL23" s="51">
        <f t="shared" si="45"/>
        <v>-3.5381809800145203</v>
      </c>
      <c r="AM23" s="51">
        <f t="shared" si="46"/>
        <v>-0.11879733164111815</v>
      </c>
      <c r="AN23" s="319">
        <f t="shared" si="47"/>
        <v>0.88798774954627946</v>
      </c>
      <c r="AO23" s="38">
        <f t="shared" si="48"/>
        <v>3.357582111038046E-2</v>
      </c>
      <c r="AP23" s="319">
        <f t="shared" si="49"/>
        <v>0.18323706260028416</v>
      </c>
      <c r="AQ23" s="320">
        <f t="shared" si="50"/>
        <v>1.9599639845400536</v>
      </c>
      <c r="AR23" s="41">
        <f t="shared" si="51"/>
        <v>-0.47793537497058636</v>
      </c>
      <c r="AS23" s="41">
        <f t="shared" si="52"/>
        <v>0.24034731105543877</v>
      </c>
      <c r="AT23" s="53">
        <f t="shared" si="53"/>
        <v>0.62006226722946756</v>
      </c>
      <c r="AU23" s="53">
        <f t="shared" si="53"/>
        <v>1.2716907458866005</v>
      </c>
      <c r="AV23" s="17"/>
      <c r="AX23" s="54"/>
      <c r="AY23" s="54">
        <v>1</v>
      </c>
      <c r="AZ23" s="55"/>
      <c r="BA23" s="55"/>
      <c r="BC23" s="28"/>
      <c r="BD23" s="28"/>
      <c r="BE23" s="2"/>
      <c r="BF23" s="2"/>
      <c r="BG23" s="2"/>
      <c r="BH23" s="2"/>
      <c r="BI23" s="2"/>
      <c r="BJ23" s="2"/>
      <c r="BK23" s="2"/>
      <c r="BL23" s="2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256">
      <c r="A24" s="547"/>
      <c r="B24" s="29" t="s">
        <v>370</v>
      </c>
      <c r="C24" s="30">
        <v>219</v>
      </c>
      <c r="D24" s="31">
        <f t="shared" ref="D24:D25" si="54">E24-C24</f>
        <v>2778</v>
      </c>
      <c r="E24" s="32">
        <v>2997</v>
      </c>
      <c r="F24" s="30">
        <v>244</v>
      </c>
      <c r="G24" s="31">
        <f t="shared" ref="G24:G25" si="55">H24-F24</f>
        <v>2747</v>
      </c>
      <c r="H24" s="32">
        <v>2991</v>
      </c>
      <c r="I24" s="33"/>
      <c r="K24" s="34">
        <f t="shared" si="29"/>
        <v>0.89574410476049826</v>
      </c>
      <c r="L24" s="35">
        <f t="shared" si="30"/>
        <v>7.9965673587057244E-3</v>
      </c>
      <c r="M24" s="36">
        <f t="shared" si="31"/>
        <v>125.05365804382518</v>
      </c>
      <c r="N24" s="37">
        <f t="shared" si="32"/>
        <v>-0.11010050416341617</v>
      </c>
      <c r="O24" s="37">
        <f t="shared" si="33"/>
        <v>-13.768470798104596</v>
      </c>
      <c r="P24" s="37">
        <f t="shared" si="34"/>
        <v>-0.11010050416341617</v>
      </c>
      <c r="Q24" s="38">
        <f t="shared" si="35"/>
        <v>0.89574410476049826</v>
      </c>
      <c r="R24" s="39">
        <f t="shared" si="36"/>
        <v>8.9423527992948948E-2</v>
      </c>
      <c r="S24" s="320">
        <f t="shared" si="37"/>
        <v>1.9599639845400536</v>
      </c>
      <c r="T24" s="41">
        <f t="shared" si="38"/>
        <v>-0.28536739840010539</v>
      </c>
      <c r="U24" s="41">
        <f t="shared" si="39"/>
        <v>6.5166390073273059E-2</v>
      </c>
      <c r="V24" s="319">
        <f t="shared" si="40"/>
        <v>0.75173801623331193</v>
      </c>
      <c r="W24" s="319">
        <f t="shared" si="40"/>
        <v>1.0673366038257723</v>
      </c>
      <c r="X24" s="44"/>
      <c r="Z24" s="45">
        <f>(N24-P241)^2</f>
        <v>1.2122121017038422E-2</v>
      </c>
      <c r="AA24" s="46">
        <f t="shared" si="41"/>
        <v>1.5159155764305892</v>
      </c>
      <c r="AB24" s="2">
        <v>1</v>
      </c>
      <c r="AC24" s="28"/>
      <c r="AD24" s="28"/>
      <c r="AE24" s="36">
        <f t="shared" si="42"/>
        <v>15638.417390141962</v>
      </c>
      <c r="AF24" s="47"/>
      <c r="AG24" s="48">
        <f>AG26</f>
        <v>-4.1427270213090566E-3</v>
      </c>
      <c r="AH24" s="48" t="str">
        <f>AH26</f>
        <v>0</v>
      </c>
      <c r="AI24" s="46">
        <f t="shared" si="43"/>
        <v>7.9965673587057244E-3</v>
      </c>
      <c r="AJ24" s="49">
        <f t="shared" si="44"/>
        <v>125.05365804382518</v>
      </c>
      <c r="AK24" s="50">
        <f>AJ24/AJ26</f>
        <v>0.23392721125576821</v>
      </c>
      <c r="AL24" s="51">
        <f t="shared" si="45"/>
        <v>-13.768470798104596</v>
      </c>
      <c r="AM24" s="51">
        <f t="shared" si="46"/>
        <v>-0.11010050416341617</v>
      </c>
      <c r="AN24" s="319">
        <f t="shared" si="47"/>
        <v>0.89574410476049826</v>
      </c>
      <c r="AO24" s="38">
        <f t="shared" si="48"/>
        <v>7.9965673587057244E-3</v>
      </c>
      <c r="AP24" s="319">
        <f t="shared" si="49"/>
        <v>8.9423527992948948E-2</v>
      </c>
      <c r="AQ24" s="320">
        <f t="shared" si="50"/>
        <v>1.9599639845400536</v>
      </c>
      <c r="AR24" s="41">
        <f t="shared" si="51"/>
        <v>-0.28536739840010539</v>
      </c>
      <c r="AS24" s="41">
        <f t="shared" si="52"/>
        <v>6.5169610702763767E-2</v>
      </c>
      <c r="AT24" s="53">
        <f t="shared" si="53"/>
        <v>0.75173801623331193</v>
      </c>
      <c r="AU24" s="53">
        <f t="shared" si="53"/>
        <v>1.0673400413270506</v>
      </c>
      <c r="AV24" s="17"/>
      <c r="AX24" s="54"/>
      <c r="AY24" s="54">
        <v>1</v>
      </c>
      <c r="AZ24" s="55"/>
      <c r="BA24" s="55"/>
      <c r="BC24" s="28"/>
      <c r="BD24" s="28"/>
      <c r="BE24" s="2"/>
      <c r="BF24" s="2"/>
      <c r="BG24" s="2"/>
      <c r="BH24" s="2"/>
      <c r="BI24" s="2"/>
      <c r="BJ24" s="2"/>
      <c r="BK24" s="2"/>
      <c r="BL24" s="2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1:256">
      <c r="A25" s="547"/>
      <c r="B25" s="29" t="s">
        <v>232</v>
      </c>
      <c r="C25" s="30">
        <v>231</v>
      </c>
      <c r="D25" s="31">
        <f t="shared" si="54"/>
        <v>2900</v>
      </c>
      <c r="E25" s="32">
        <v>3131</v>
      </c>
      <c r="F25" s="30">
        <v>261</v>
      </c>
      <c r="G25" s="31">
        <f t="shared" si="55"/>
        <v>2871</v>
      </c>
      <c r="H25" s="32">
        <v>3132</v>
      </c>
      <c r="I25" s="33"/>
      <c r="K25" s="34">
        <f t="shared" si="29"/>
        <v>0.88534014691791774</v>
      </c>
      <c r="L25" s="35">
        <f t="shared" si="30"/>
        <v>7.5217503740945633E-3</v>
      </c>
      <c r="M25" s="36">
        <f t="shared" si="31"/>
        <v>132.94777814537295</v>
      </c>
      <c r="N25" s="37">
        <f t="shared" si="32"/>
        <v>-0.12178336101661169</v>
      </c>
      <c r="O25" s="37">
        <f t="shared" si="33"/>
        <v>-16.19082726223435</v>
      </c>
      <c r="P25" s="37">
        <f t="shared" si="34"/>
        <v>-0.12178336101661169</v>
      </c>
      <c r="Q25" s="38">
        <f t="shared" si="35"/>
        <v>0.88534014691791774</v>
      </c>
      <c r="R25" s="39">
        <f t="shared" si="36"/>
        <v>8.6728025309553564E-2</v>
      </c>
      <c r="S25" s="320">
        <f t="shared" si="37"/>
        <v>1.9599639845400536</v>
      </c>
      <c r="T25" s="41">
        <f t="shared" si="38"/>
        <v>-0.29176716707361494</v>
      </c>
      <c r="U25" s="41">
        <f t="shared" si="39"/>
        <v>4.8200445040391532E-2</v>
      </c>
      <c r="V25" s="319">
        <f t="shared" si="40"/>
        <v>0.74694242852008974</v>
      </c>
      <c r="W25" s="319">
        <f t="shared" si="40"/>
        <v>1.0493809774571647</v>
      </c>
      <c r="X25" s="44"/>
      <c r="Z25" s="45">
        <f>(N25-P26)^2</f>
        <v>1.6640665210180484E-5</v>
      </c>
      <c r="AA25" s="46">
        <f t="shared" si="41"/>
        <v>2.212339466554501E-3</v>
      </c>
      <c r="AB25" s="2">
        <v>1</v>
      </c>
      <c r="AC25" s="28"/>
      <c r="AD25" s="28"/>
      <c r="AE25" s="36">
        <f t="shared" si="42"/>
        <v>17675.111713791306</v>
      </c>
      <c r="AF25" s="47"/>
      <c r="AG25" s="48">
        <f>AG26</f>
        <v>-4.1427270213090566E-3</v>
      </c>
      <c r="AH25" s="48" t="str">
        <f>AH26</f>
        <v>0</v>
      </c>
      <c r="AI25" s="46">
        <f t="shared" si="43"/>
        <v>7.5217503740945633E-3</v>
      </c>
      <c r="AJ25" s="49">
        <f t="shared" si="44"/>
        <v>132.94777814537295</v>
      </c>
      <c r="AK25" s="50">
        <f>AJ25/AJ26</f>
        <v>0.2486940683758215</v>
      </c>
      <c r="AL25" s="51">
        <f t="shared" si="45"/>
        <v>-16.19082726223435</v>
      </c>
      <c r="AM25" s="51">
        <f t="shared" si="46"/>
        <v>-0.12178336101661168</v>
      </c>
      <c r="AN25" s="319">
        <f t="shared" si="47"/>
        <v>0.88534014691791774</v>
      </c>
      <c r="AO25" s="38">
        <f t="shared" si="48"/>
        <v>7.5217503740945633E-3</v>
      </c>
      <c r="AP25" s="319">
        <f t="shared" si="49"/>
        <v>8.6728025309553564E-2</v>
      </c>
      <c r="AQ25" s="320">
        <f t="shared" si="50"/>
        <v>1.9599639845400536</v>
      </c>
      <c r="AR25" s="41">
        <f t="shared" si="51"/>
        <v>-0.29176716707361489</v>
      </c>
      <c r="AS25" s="41">
        <f t="shared" si="52"/>
        <v>4.8203568590113308E-2</v>
      </c>
      <c r="AT25" s="53">
        <f t="shared" si="53"/>
        <v>0.74694242852008985</v>
      </c>
      <c r="AU25" s="53">
        <f t="shared" si="53"/>
        <v>1.049384255255944</v>
      </c>
      <c r="AV25" s="17"/>
      <c r="AX25" s="54"/>
      <c r="AY25" s="54">
        <v>1</v>
      </c>
      <c r="AZ25" s="55"/>
      <c r="BA25" s="55"/>
      <c r="BC25" s="28"/>
      <c r="BD25" s="28"/>
      <c r="BE25" s="2"/>
      <c r="BF25" s="2"/>
      <c r="BG25" s="2"/>
      <c r="BH25" s="2"/>
      <c r="BI25" s="2"/>
      <c r="BJ25" s="2"/>
      <c r="BK25" s="2"/>
      <c r="BL25" s="2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256">
      <c r="A26" s="547"/>
      <c r="B26" s="56">
        <f>COUNT(D21:D25)</f>
        <v>5</v>
      </c>
      <c r="C26" s="57">
        <f>SUM(C21:C25)</f>
        <v>915</v>
      </c>
      <c r="D26" s="57">
        <f>SUM(D21:D25)</f>
        <v>10057</v>
      </c>
      <c r="E26" s="57">
        <f>SUM(E21:E25)</f>
        <v>10972</v>
      </c>
      <c r="F26" s="57">
        <f>SUM(F21:F25)</f>
        <v>1038</v>
      </c>
      <c r="G26" s="57">
        <f>SUM(G21:G25)</f>
        <v>9937</v>
      </c>
      <c r="H26" s="57">
        <f>SUM(H21:H25)</f>
        <v>10975</v>
      </c>
      <c r="I26" s="58"/>
      <c r="K26" s="59"/>
      <c r="L26" s="60"/>
      <c r="M26" s="61">
        <f>SUM(M21:M25)</f>
        <v>534.58363126081849</v>
      </c>
      <c r="N26" s="62"/>
      <c r="O26" s="63">
        <f>SUM(O21:O25)</f>
        <v>-67.284116841023661</v>
      </c>
      <c r="P26" s="64">
        <f>O26/M26</f>
        <v>-0.12586265816320208</v>
      </c>
      <c r="Q26" s="497">
        <f>EXP(P26)</f>
        <v>0.88173593770105574</v>
      </c>
      <c r="R26" s="497">
        <f>SQRT(1/M26)</f>
        <v>4.3250603485280231E-2</v>
      </c>
      <c r="S26" s="520">
        <f t="shared" si="37"/>
        <v>1.9599639845400536</v>
      </c>
      <c r="T26" s="499">
        <f>P26-(R26*S26)</f>
        <v>-0.21063228330397385</v>
      </c>
      <c r="U26" s="499">
        <f>P26+(R26*S26)</f>
        <v>-4.1093033022430309E-2</v>
      </c>
      <c r="V26" s="497">
        <f>EXP(T26)</f>
        <v>0.81007188907941907</v>
      </c>
      <c r="W26" s="542">
        <f>EXP(U26)</f>
        <v>0.95973983829642373</v>
      </c>
      <c r="X26" s="66"/>
      <c r="Y26" s="66"/>
      <c r="Z26" s="67"/>
      <c r="AA26" s="68">
        <f>SUM(AA21:AA25)</f>
        <v>2.2898999063694285</v>
      </c>
      <c r="AB26" s="69">
        <f>SUM(AB21:AB25)</f>
        <v>5</v>
      </c>
      <c r="AC26" s="70">
        <f>AA26-(AB26-1)</f>
        <v>-1.7101000936305715</v>
      </c>
      <c r="AD26" s="61">
        <f>M26</f>
        <v>534.58363126081849</v>
      </c>
      <c r="AE26" s="61">
        <f>SUM(AE21:AE25)</f>
        <v>65105.809637257436</v>
      </c>
      <c r="AF26" s="71">
        <f>AE26/AD26</f>
        <v>121.78788468271095</v>
      </c>
      <c r="AG26" s="72">
        <f>AC26/(AD26-AF26)</f>
        <v>-4.1427270213090566E-3</v>
      </c>
      <c r="AH26" s="72" t="str">
        <f>IF(AA26&lt;AB26-1,"0",AG26)</f>
        <v>0</v>
      </c>
      <c r="AI26" s="67"/>
      <c r="AJ26" s="61">
        <f>SUM(AJ21:AJ25)</f>
        <v>534.58363126081849</v>
      </c>
      <c r="AK26" s="73">
        <f>SUM(AK21:AK25)</f>
        <v>1</v>
      </c>
      <c r="AL26" s="70">
        <f>SUM(AL21:AL25)</f>
        <v>-67.284116841023661</v>
      </c>
      <c r="AM26" s="70">
        <f>AL26/AJ26</f>
        <v>-0.12586265816320208</v>
      </c>
      <c r="AN26" s="497">
        <f>EXP(AM26)</f>
        <v>0.88173593770105574</v>
      </c>
      <c r="AO26" s="64">
        <f>1/AJ26</f>
        <v>1.8706147018409344E-3</v>
      </c>
      <c r="AP26" s="63">
        <f>SQRT(AO26)</f>
        <v>4.3250603485280231E-2</v>
      </c>
      <c r="AQ26" s="320">
        <f t="shared" si="50"/>
        <v>1.9599639845400536</v>
      </c>
      <c r="AR26" s="65">
        <f>AM26-(AQ26*AP26)</f>
        <v>-0.21063228330397385</v>
      </c>
      <c r="AS26" s="65">
        <f>AM26+(1.96*AP26)</f>
        <v>-4.1091475332052832E-2</v>
      </c>
      <c r="AT26" s="519">
        <f>EXP(AR26)</f>
        <v>0.81007188907941907</v>
      </c>
      <c r="AU26" s="541">
        <f>EXP(AS26)</f>
        <v>0.95974133327509903</v>
      </c>
      <c r="AV26" s="76"/>
      <c r="AW26" s="77"/>
      <c r="AX26" s="78">
        <f>AA26</f>
        <v>2.2898999063694285</v>
      </c>
      <c r="AY26" s="56">
        <f>SUM(AY21:AY25)</f>
        <v>5</v>
      </c>
      <c r="AZ26" s="79">
        <f>(AX26-(AY26-1))/AX26</f>
        <v>-0.74680124178086316</v>
      </c>
      <c r="BA26" s="80" t="str">
        <f>IF(AA26&lt;AB26-1,"0%",AZ26)</f>
        <v>0%</v>
      </c>
      <c r="BB26" s="77"/>
      <c r="BC26" s="63">
        <f>AX26/(AY26-1)</f>
        <v>0.57247497659235713</v>
      </c>
      <c r="BD26" s="81">
        <f>LN(BC26)</f>
        <v>-0.55778625351799205</v>
      </c>
      <c r="BE26" s="63">
        <f>LN(AX26)</f>
        <v>0.82850810760189852</v>
      </c>
      <c r="BF26" s="63">
        <f>LN(AY26-1)</f>
        <v>1.3862943611198906</v>
      </c>
      <c r="BG26" s="63">
        <f>SQRT(2*AX26)</f>
        <v>2.1400466847101391</v>
      </c>
      <c r="BH26" s="63">
        <f>SQRT(2*AY26-3)</f>
        <v>2.6457513110645907</v>
      </c>
      <c r="BI26" s="63">
        <f>2*(AY26-2)</f>
        <v>6</v>
      </c>
      <c r="BJ26" s="63">
        <f>3*(AY26-2)^2</f>
        <v>27</v>
      </c>
      <c r="BK26" s="63">
        <f>1/BI26</f>
        <v>0.16666666666666666</v>
      </c>
      <c r="BL26" s="82">
        <f>1/BJ26</f>
        <v>3.7037037037037035E-2</v>
      </c>
      <c r="BM26" s="82">
        <f>SQRT(BK26*(1-BL26))</f>
        <v>0.40061680838488767</v>
      </c>
      <c r="BN26" s="83">
        <f>0.5*(BE26-BF26)/(BG26-BH26)</f>
        <v>0.55149411776098345</v>
      </c>
      <c r="BO26" s="83">
        <f>IF(AA26&lt;=AB26,BM26,BN26)</f>
        <v>0.40061680838488767</v>
      </c>
      <c r="BP26" s="70">
        <f>BD26-(1.96*BO26)</f>
        <v>-1.342995197952372</v>
      </c>
      <c r="BQ26" s="70">
        <f>BD26+(1.96*BO26)</f>
        <v>0.22742269091638778</v>
      </c>
      <c r="BR26" s="70"/>
      <c r="BS26" s="81">
        <f>EXP(BP26)</f>
        <v>0.26106256233451952</v>
      </c>
      <c r="BT26" s="81">
        <f>EXP(BQ26)</f>
        <v>1.2553603852415931</v>
      </c>
      <c r="BU26" s="84" t="str">
        <f>BA26</f>
        <v>0%</v>
      </c>
      <c r="BV26" s="84">
        <f>(BS26-1)/BS26</f>
        <v>-2.8304994444918652</v>
      </c>
      <c r="BW26" s="84">
        <f>(BT26-1)/BT26</f>
        <v>0.20341599770367869</v>
      </c>
    </row>
    <row r="27" spans="1:256" ht="13.5" thickBot="1">
      <c r="A27" s="424"/>
      <c r="C27" s="85"/>
      <c r="D27" s="85"/>
      <c r="E27" s="85"/>
      <c r="F27" s="85"/>
      <c r="G27" s="85"/>
      <c r="H27" s="85"/>
      <c r="I27" s="86"/>
      <c r="R27" s="87"/>
      <c r="S27" s="87"/>
      <c r="T27" s="87"/>
      <c r="U27" s="87"/>
      <c r="V27" s="87"/>
      <c r="W27" s="87"/>
      <c r="X27" s="87"/>
      <c r="AB27" s="88"/>
      <c r="AC27" s="89"/>
      <c r="AD27" s="90"/>
      <c r="AE27" s="89"/>
      <c r="AF27" s="91"/>
      <c r="AG27" s="91"/>
      <c r="AH27" s="91"/>
      <c r="AI27" s="91"/>
      <c r="AT27" s="92"/>
      <c r="AU27" s="92"/>
      <c r="AV27" s="92"/>
      <c r="AX27" s="5" t="s">
        <v>56</v>
      </c>
      <c r="BG27" s="11"/>
      <c r="BN27" s="89" t="s">
        <v>57</v>
      </c>
      <c r="BT27" s="93" t="s">
        <v>58</v>
      </c>
      <c r="BU27" s="504" t="str">
        <f>BU26</f>
        <v>0%</v>
      </c>
      <c r="BV27" s="504" t="str">
        <f>IF(BV26&lt;0,"0%",BV26)</f>
        <v>0%</v>
      </c>
      <c r="BW27" s="505">
        <f>IF(BW26&lt;0,"0%",BW26)</f>
        <v>0.20341599770367869</v>
      </c>
    </row>
    <row r="28" spans="1:256" s="15" customFormat="1" ht="26.5" thickBot="1">
      <c r="A28" s="599"/>
      <c r="B28" s="570"/>
      <c r="C28" s="571"/>
      <c r="D28" s="571"/>
      <c r="E28" s="571"/>
      <c r="F28" s="571"/>
      <c r="G28" s="571"/>
      <c r="H28" s="571"/>
      <c r="I28" s="573"/>
      <c r="J28" s="570"/>
      <c r="K28" s="570"/>
      <c r="L28" s="570"/>
      <c r="R28" s="574"/>
      <c r="S28" s="574"/>
      <c r="T28" s="574"/>
      <c r="U28" s="574"/>
      <c r="V28" s="574"/>
      <c r="W28" s="574"/>
      <c r="X28" s="574"/>
      <c r="AI28" s="575"/>
      <c r="AJ28" s="576"/>
      <c r="AK28" s="576"/>
      <c r="AL28" s="577"/>
      <c r="AM28" s="578"/>
      <c r="AO28" s="100" t="s">
        <v>59</v>
      </c>
      <c r="AP28" s="101">
        <f>TINV((1-$H$1),(AB26-2))</f>
        <v>3.1824463052837078</v>
      </c>
      <c r="AR28" s="579" t="s">
        <v>60</v>
      </c>
      <c r="AS28" s="102">
        <f>$H$1</f>
        <v>0.95</v>
      </c>
      <c r="AT28" s="507">
        <f>EXP(AM26-AP28*SQRT((1/AD26)+AH26))</f>
        <v>0.76835348759049626</v>
      </c>
      <c r="AU28" s="507">
        <f>EXP(AM26+AP28*SQRT((1/AD26)+AH26))</f>
        <v>1.0118497233241119</v>
      </c>
      <c r="AV28" s="17"/>
      <c r="AX28" s="103">
        <f>_xlfn.CHISQ.DIST.RT(AX26,AY26-1)</f>
        <v>0.68260853909543928</v>
      </c>
      <c r="AY28" s="104" t="str">
        <f>IF(AX28&lt;0.05,"heterogeneidad","homogeneidad")</f>
        <v>homogeneidad</v>
      </c>
      <c r="BF28" s="580"/>
      <c r="BG28" s="575"/>
      <c r="BH28" s="575"/>
      <c r="BJ28" s="581"/>
      <c r="BL28" s="575"/>
      <c r="BM28" s="582"/>
      <c r="BQ28" s="575"/>
    </row>
    <row r="29" spans="1:256" ht="14.5">
      <c r="A29" s="547"/>
      <c r="B29" s="5"/>
      <c r="C29" s="94"/>
      <c r="D29" s="94"/>
      <c r="E29" s="94"/>
      <c r="F29" s="94"/>
      <c r="G29" s="94"/>
      <c r="H29" s="94"/>
      <c r="I29" s="95"/>
      <c r="J29" s="5"/>
      <c r="K29" s="5"/>
      <c r="L29" s="5"/>
      <c r="R29" s="96"/>
      <c r="S29" s="96"/>
      <c r="T29" s="96"/>
      <c r="U29" s="96"/>
      <c r="V29" s="96"/>
      <c r="W29" s="96"/>
      <c r="X29" s="96"/>
      <c r="AF29" s="1"/>
      <c r="AI29" s="11"/>
      <c r="AJ29" s="97"/>
      <c r="AK29" s="97"/>
      <c r="AL29" s="98"/>
      <c r="AM29" s="99"/>
      <c r="AN29" s="107"/>
      <c r="AO29" s="108"/>
      <c r="AP29" s="14"/>
      <c r="AS29" s="109"/>
      <c r="AT29" s="17"/>
      <c r="AU29" s="17"/>
      <c r="AV29" s="17"/>
      <c r="BF29" s="105"/>
      <c r="BG29" s="11"/>
      <c r="BH29" s="11"/>
      <c r="BJ29" s="44"/>
      <c r="BL29" s="11"/>
      <c r="BM29" s="110"/>
      <c r="BQ29" s="11"/>
    </row>
    <row r="30" spans="1:256" ht="13" customHeight="1">
      <c r="A30" s="424"/>
      <c r="C30" s="85"/>
      <c r="D30" s="85"/>
      <c r="E30" s="85"/>
      <c r="F30" s="85"/>
      <c r="G30" s="85"/>
      <c r="H30" s="85"/>
      <c r="I30" s="86"/>
      <c r="J30" s="619" t="s">
        <v>4</v>
      </c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1"/>
      <c r="X30" s="12"/>
      <c r="Y30" s="619" t="s">
        <v>5</v>
      </c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1"/>
      <c r="AV30" s="12"/>
      <c r="AW30" s="619" t="s">
        <v>229</v>
      </c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620"/>
      <c r="BS30" s="620"/>
      <c r="BT30" s="620"/>
      <c r="BU30" s="620"/>
      <c r="BV30" s="620"/>
      <c r="BW30" s="621"/>
    </row>
    <row r="31" spans="1:256">
      <c r="A31" s="548" t="s">
        <v>473</v>
      </c>
      <c r="B31" s="13" t="s">
        <v>6</v>
      </c>
      <c r="C31" s="618" t="s">
        <v>7</v>
      </c>
      <c r="D31" s="618"/>
      <c r="E31" s="618"/>
      <c r="F31" s="618" t="s">
        <v>8</v>
      </c>
      <c r="G31" s="618"/>
      <c r="H31" s="618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60">
      <c r="A32" s="553" t="s">
        <v>371</v>
      </c>
      <c r="B32" s="512" t="s">
        <v>382</v>
      </c>
      <c r="C32" s="16" t="s">
        <v>9</v>
      </c>
      <c r="D32" s="16" t="s">
        <v>10</v>
      </c>
      <c r="E32" s="16" t="s">
        <v>11</v>
      </c>
      <c r="F32" s="16" t="s">
        <v>9</v>
      </c>
      <c r="G32" s="16" t="s">
        <v>10</v>
      </c>
      <c r="H32" s="16" t="s">
        <v>11</v>
      </c>
      <c r="I32" s="17"/>
      <c r="K32" s="18" t="s">
        <v>12</v>
      </c>
      <c r="L32" s="18" t="s">
        <v>13</v>
      </c>
      <c r="M32" s="18" t="s">
        <v>14</v>
      </c>
      <c r="N32" s="19" t="s">
        <v>15</v>
      </c>
      <c r="O32" s="19" t="s">
        <v>16</v>
      </c>
      <c r="P32" s="19" t="s">
        <v>17</v>
      </c>
      <c r="Q32" s="495" t="s">
        <v>18</v>
      </c>
      <c r="R32" s="495" t="s">
        <v>19</v>
      </c>
      <c r="S32" s="496" t="s">
        <v>3</v>
      </c>
      <c r="T32" s="495" t="s">
        <v>20</v>
      </c>
      <c r="U32" s="495" t="s">
        <v>21</v>
      </c>
      <c r="V32" s="495" t="s">
        <v>22</v>
      </c>
      <c r="W32" s="495" t="s">
        <v>22</v>
      </c>
      <c r="X32" s="20"/>
      <c r="Y32" s="21"/>
      <c r="Z32" s="22" t="s">
        <v>23</v>
      </c>
      <c r="AA32" s="19" t="s">
        <v>24</v>
      </c>
      <c r="AB32" s="3" t="s">
        <v>25</v>
      </c>
      <c r="AC32" s="3" t="s">
        <v>26</v>
      </c>
      <c r="AD32" s="3" t="s">
        <v>27</v>
      </c>
      <c r="AE32" s="19" t="s">
        <v>28</v>
      </c>
      <c r="AF32" s="19" t="s">
        <v>29</v>
      </c>
      <c r="AG32" s="23" t="s">
        <v>30</v>
      </c>
      <c r="AH32" s="23" t="s">
        <v>31</v>
      </c>
      <c r="AI32" s="3" t="s">
        <v>32</v>
      </c>
      <c r="AJ32" s="19" t="s">
        <v>33</v>
      </c>
      <c r="AK32" s="19" t="s">
        <v>34</v>
      </c>
      <c r="AL32" s="19" t="s">
        <v>35</v>
      </c>
      <c r="AM32" s="3" t="s">
        <v>36</v>
      </c>
      <c r="AN32" s="496" t="s">
        <v>37</v>
      </c>
      <c r="AO32" s="19" t="s">
        <v>38</v>
      </c>
      <c r="AP32" s="19" t="s">
        <v>39</v>
      </c>
      <c r="AQ32" s="3" t="s">
        <v>3</v>
      </c>
      <c r="AR32" s="19" t="s">
        <v>40</v>
      </c>
      <c r="AS32" s="19" t="s">
        <v>41</v>
      </c>
      <c r="AT32" s="495" t="s">
        <v>22</v>
      </c>
      <c r="AU32" s="495" t="s">
        <v>22</v>
      </c>
      <c r="AV32" s="20"/>
      <c r="AX32" s="24" t="s">
        <v>42</v>
      </c>
      <c r="AY32" s="24" t="s">
        <v>25</v>
      </c>
      <c r="AZ32" s="25" t="s">
        <v>61</v>
      </c>
      <c r="BA32" s="26" t="s">
        <v>62</v>
      </c>
      <c r="BC32" s="3" t="s">
        <v>63</v>
      </c>
      <c r="BD32" s="3" t="s">
        <v>64</v>
      </c>
      <c r="BE32" s="3" t="s">
        <v>43</v>
      </c>
      <c r="BF32" s="3" t="s">
        <v>44</v>
      </c>
      <c r="BG32" s="3" t="s">
        <v>45</v>
      </c>
      <c r="BH32" s="3" t="s">
        <v>46</v>
      </c>
      <c r="BI32" s="3" t="s">
        <v>47</v>
      </c>
      <c r="BJ32" s="3" t="s">
        <v>65</v>
      </c>
      <c r="BK32" s="3" t="s">
        <v>48</v>
      </c>
      <c r="BL32" s="3" t="s">
        <v>49</v>
      </c>
      <c r="BM32" s="27" t="s">
        <v>66</v>
      </c>
      <c r="BN32" s="27" t="s">
        <v>67</v>
      </c>
      <c r="BO32" s="27" t="s">
        <v>68</v>
      </c>
      <c r="BP32" s="27" t="s">
        <v>69</v>
      </c>
      <c r="BQ32" s="27" t="s">
        <v>70</v>
      </c>
      <c r="BR32" s="28"/>
      <c r="BS32" s="19" t="s">
        <v>71</v>
      </c>
      <c r="BT32" s="19" t="s">
        <v>72</v>
      </c>
      <c r="BU32" s="495" t="s">
        <v>226</v>
      </c>
      <c r="BV32" s="495" t="s">
        <v>227</v>
      </c>
      <c r="BW32" s="495" t="s">
        <v>228</v>
      </c>
    </row>
    <row r="33" spans="1:256">
      <c r="A33" s="547"/>
      <c r="B33" s="29" t="s">
        <v>231</v>
      </c>
      <c r="C33" s="30">
        <v>231</v>
      </c>
      <c r="D33" s="31">
        <f>E33-C33</f>
        <v>2142</v>
      </c>
      <c r="E33" s="32">
        <v>2373</v>
      </c>
      <c r="F33" s="30">
        <v>318</v>
      </c>
      <c r="G33" s="31">
        <f>H33-F33</f>
        <v>2053</v>
      </c>
      <c r="H33" s="32">
        <v>2371</v>
      </c>
      <c r="I33" s="33"/>
      <c r="K33" s="34">
        <f>(C33/E33)/(F33/H33)</f>
        <v>0.72580286080035616</v>
      </c>
      <c r="L33" s="35">
        <f>(D33/(C33*E33)+(G33/(F33*H33)))</f>
        <v>6.6304879467898219E-3</v>
      </c>
      <c r="M33" s="36">
        <f>1/L33</f>
        <v>150.81846283789025</v>
      </c>
      <c r="N33" s="37">
        <f>LN(K33)</f>
        <v>-0.32047684262874143</v>
      </c>
      <c r="O33" s="37">
        <f>M33*N33</f>
        <v>-48.333824780407241</v>
      </c>
      <c r="P33" s="37">
        <f>LN(K33)</f>
        <v>-0.32047684262874143</v>
      </c>
      <c r="Q33" s="38">
        <f>K33</f>
        <v>0.72580286080035616</v>
      </c>
      <c r="R33" s="39">
        <f>SQRT(1/M33)</f>
        <v>8.1427808190997139E-2</v>
      </c>
      <c r="S33" s="320">
        <f>$H$2</f>
        <v>1.9599639845400536</v>
      </c>
      <c r="T33" s="41">
        <f>P33-(R33*S33)</f>
        <v>-0.48007241402313139</v>
      </c>
      <c r="U33" s="41">
        <f>P33+(R33*S33)</f>
        <v>-0.16088127123435148</v>
      </c>
      <c r="V33" s="319">
        <f>EXP(T33)</f>
        <v>0.61873858483363942</v>
      </c>
      <c r="W33" s="319">
        <f>EXP(U33)</f>
        <v>0.85139314996432536</v>
      </c>
      <c r="X33" s="44"/>
      <c r="Z33" s="45">
        <f>(N33-P37)^2</f>
        <v>6.5391116838405677E-4</v>
      </c>
      <c r="AA33" s="46">
        <f>M33*Z33</f>
        <v>9.8621877248212267E-2</v>
      </c>
      <c r="AB33" s="2">
        <v>1</v>
      </c>
      <c r="AC33" s="28"/>
      <c r="AD33" s="28"/>
      <c r="AE33" s="36">
        <f>M33^2</f>
        <v>22746.208732784082</v>
      </c>
      <c r="AF33" s="47"/>
      <c r="AG33" s="48">
        <f>AG37</f>
        <v>-3.941981789393853E-3</v>
      </c>
      <c r="AH33" s="48" t="str">
        <f>AH37</f>
        <v>0</v>
      </c>
      <c r="AI33" s="46">
        <f>1/M33</f>
        <v>6.6304879467898219E-3</v>
      </c>
      <c r="AJ33" s="49">
        <f>1/(AH33+AI33)</f>
        <v>150.81846283789025</v>
      </c>
      <c r="AK33" s="50">
        <f>AJ33/AJ37</f>
        <v>0.21725722073743747</v>
      </c>
      <c r="AL33" s="51">
        <f>AJ33*N33</f>
        <v>-48.333824780407241</v>
      </c>
      <c r="AM33" s="51">
        <f>AL33/AJ33</f>
        <v>-0.32047684262874143</v>
      </c>
      <c r="AN33" s="319">
        <f>EXP(AM33)</f>
        <v>0.72580286080035616</v>
      </c>
      <c r="AO33" s="38">
        <f>1/AJ33</f>
        <v>6.6304879467898219E-3</v>
      </c>
      <c r="AP33" s="319">
        <f>SQRT(AO33)</f>
        <v>8.1427808190997139E-2</v>
      </c>
      <c r="AQ33" s="320">
        <f>$H$2</f>
        <v>1.9599639845400536</v>
      </c>
      <c r="AR33" s="41">
        <f>AM33-(AQ33*AP33)</f>
        <v>-0.48007241402313139</v>
      </c>
      <c r="AS33" s="41">
        <f>AM33+(1.96*AP33)</f>
        <v>-0.16087833857438705</v>
      </c>
      <c r="AT33" s="53">
        <f>EXP(AR33)</f>
        <v>0.61873858483363942</v>
      </c>
      <c r="AU33" s="53">
        <f>EXP(AS33)</f>
        <v>0.85139564681459134</v>
      </c>
      <c r="AV33" s="17"/>
      <c r="AX33" s="54"/>
      <c r="AY33" s="54">
        <v>1</v>
      </c>
      <c r="AZ33" s="55"/>
      <c r="BA33" s="55"/>
      <c r="BC33" s="28"/>
      <c r="BD33" s="28"/>
      <c r="BE33" s="2"/>
      <c r="BF33" s="2"/>
      <c r="BG33" s="2"/>
      <c r="BH33" s="2"/>
      <c r="BI33" s="2"/>
      <c r="BJ33" s="2"/>
      <c r="BK33" s="2"/>
      <c r="BL33" s="2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256">
      <c r="A34" s="547"/>
      <c r="B34" s="29" t="s">
        <v>230</v>
      </c>
      <c r="C34" s="30">
        <v>246</v>
      </c>
      <c r="D34" s="31">
        <f t="shared" ref="D34" si="56">E34-C34</f>
        <v>1617</v>
      </c>
      <c r="E34" s="32">
        <v>1863</v>
      </c>
      <c r="F34" s="30">
        <v>342</v>
      </c>
      <c r="G34" s="31">
        <f t="shared" ref="G34" si="57">H34-F34</f>
        <v>1525</v>
      </c>
      <c r="H34" s="32">
        <v>1867</v>
      </c>
      <c r="I34" s="33"/>
      <c r="K34" s="34">
        <f t="shared" ref="K34:K36" si="58">(C34/E34)/(F34/H34)</f>
        <v>0.72084263261481663</v>
      </c>
      <c r="L34" s="35">
        <f t="shared" ref="L34:L36" si="59">(D34/(C34*E34)+(G34/(F34*H34)))</f>
        <v>5.9166299663543018E-3</v>
      </c>
      <c r="M34" s="36">
        <f t="shared" ref="M34:M36" si="60">1/L34</f>
        <v>169.01513288588811</v>
      </c>
      <c r="N34" s="37">
        <f t="shared" ref="N34:N36" si="61">LN(K34)</f>
        <v>-0.32733442819010827</v>
      </c>
      <c r="O34" s="37">
        <f t="shared" ref="O34:O36" si="62">M34*N34</f>
        <v>-55.32447187867735</v>
      </c>
      <c r="P34" s="37">
        <f t="shared" ref="P34:P36" si="63">LN(K34)</f>
        <v>-0.32733442819010827</v>
      </c>
      <c r="Q34" s="38">
        <f t="shared" ref="Q34:Q36" si="64">K34</f>
        <v>0.72084263261481663</v>
      </c>
      <c r="R34" s="39">
        <f t="shared" ref="R34:R36" si="65">SQRT(1/M34)</f>
        <v>7.6919633165754897E-2</v>
      </c>
      <c r="S34" s="320">
        <f t="shared" ref="S34:S37" si="66">$H$2</f>
        <v>1.9599639845400536</v>
      </c>
      <c r="T34" s="41">
        <f t="shared" ref="T34:T36" si="67">P34-(R34*S34)</f>
        <v>-0.47809413889902053</v>
      </c>
      <c r="U34" s="41">
        <f t="shared" ref="U34:U36" si="68">P34+(R34*S34)</f>
        <v>-0.17657471748119605</v>
      </c>
      <c r="V34" s="319">
        <f t="shared" ref="V34:W36" si="69">EXP(T34)</f>
        <v>0.61996383152227497</v>
      </c>
      <c r="W34" s="319">
        <f t="shared" si="69"/>
        <v>0.83813615339331304</v>
      </c>
      <c r="X34" s="44"/>
      <c r="Z34" s="45">
        <f>(N34-P37)^2</f>
        <v>1.0516577091681687E-3</v>
      </c>
      <c r="AA34" s="46">
        <f t="shared" ref="AA34:AA36" si="70">M34*Z34</f>
        <v>0.17774606746552671</v>
      </c>
      <c r="AB34" s="2">
        <v>1</v>
      </c>
      <c r="AC34" s="28"/>
      <c r="AD34" s="28"/>
      <c r="AE34" s="36">
        <f t="shared" ref="AE34:AE36" si="71">M34^2</f>
        <v>28566.115144434414</v>
      </c>
      <c r="AF34" s="47"/>
      <c r="AG34" s="48">
        <f>AG37</f>
        <v>-3.941981789393853E-3</v>
      </c>
      <c r="AH34" s="48" t="str">
        <f>AH37</f>
        <v>0</v>
      </c>
      <c r="AI34" s="46">
        <f t="shared" ref="AI34:AI36" si="72">1/M34</f>
        <v>5.9166299663543018E-3</v>
      </c>
      <c r="AJ34" s="49">
        <f t="shared" ref="AJ34:AJ36" si="73">1/(AH34+AI34)</f>
        <v>169.01513288588811</v>
      </c>
      <c r="AK34" s="50">
        <f>AJ34/AJ37</f>
        <v>0.24346991304921048</v>
      </c>
      <c r="AL34" s="51">
        <f t="shared" ref="AL34:AL36" si="74">AJ34*N34</f>
        <v>-55.32447187867735</v>
      </c>
      <c r="AM34" s="51">
        <f t="shared" ref="AM34:AM36" si="75">AL34/AJ34</f>
        <v>-0.32733442819010827</v>
      </c>
      <c r="AN34" s="319">
        <f t="shared" ref="AN34:AN36" si="76">EXP(AM34)</f>
        <v>0.72084263261481663</v>
      </c>
      <c r="AO34" s="38">
        <f t="shared" ref="AO34:AO36" si="77">1/AJ34</f>
        <v>5.9166299663543018E-3</v>
      </c>
      <c r="AP34" s="319">
        <f t="shared" ref="AP34:AP36" si="78">SQRT(AO34)</f>
        <v>7.6919633165754897E-2</v>
      </c>
      <c r="AQ34" s="320">
        <f t="shared" ref="AQ34:AQ37" si="79">$H$2</f>
        <v>1.9599639845400536</v>
      </c>
      <c r="AR34" s="41">
        <f t="shared" ref="AR34:AR36" si="80">AM34-(AQ34*AP34)</f>
        <v>-0.47809413889902053</v>
      </c>
      <c r="AS34" s="41">
        <f t="shared" ref="AS34:AS36" si="81">AM34+(1.96*AP34)</f>
        <v>-0.17657194718522867</v>
      </c>
      <c r="AT34" s="53">
        <f t="shared" ref="AT34:AU36" si="82">EXP(AR34)</f>
        <v>0.61996383152227497</v>
      </c>
      <c r="AU34" s="53">
        <f t="shared" si="82"/>
        <v>0.83813847528173502</v>
      </c>
      <c r="AV34" s="17"/>
      <c r="AX34" s="54"/>
      <c r="AY34" s="54">
        <v>1</v>
      </c>
      <c r="AZ34" s="55"/>
      <c r="BA34" s="55"/>
      <c r="BC34" s="28"/>
      <c r="BD34" s="28"/>
      <c r="BE34" s="2"/>
      <c r="BF34" s="2"/>
      <c r="BG34" s="2"/>
      <c r="BH34" s="2"/>
      <c r="BI34" s="2"/>
      <c r="BJ34" s="2"/>
      <c r="BK34" s="2"/>
      <c r="BL34" s="2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256">
      <c r="A35" s="547"/>
      <c r="B35" s="29" t="s">
        <v>370</v>
      </c>
      <c r="C35" s="30">
        <v>259</v>
      </c>
      <c r="D35" s="31">
        <f t="shared" ref="D35:D36" si="83">E35-C35</f>
        <v>2738</v>
      </c>
      <c r="E35" s="32">
        <v>2997</v>
      </c>
      <c r="F35" s="30">
        <v>352</v>
      </c>
      <c r="G35" s="31">
        <f t="shared" ref="G35:G36" si="84">H35-F35</f>
        <v>2639</v>
      </c>
      <c r="H35" s="32">
        <v>2991</v>
      </c>
      <c r="I35" s="33"/>
      <c r="K35" s="34">
        <f t="shared" si="58"/>
        <v>0.73432239057239057</v>
      </c>
      <c r="L35" s="35">
        <f t="shared" si="59"/>
        <v>6.0339096092188703E-3</v>
      </c>
      <c r="M35" s="36">
        <f t="shared" si="60"/>
        <v>165.73002659372895</v>
      </c>
      <c r="N35" s="37">
        <f t="shared" si="61"/>
        <v>-0.30880712258527454</v>
      </c>
      <c r="O35" s="37">
        <f t="shared" si="62"/>
        <v>-51.178612638390469</v>
      </c>
      <c r="P35" s="37">
        <f t="shared" si="63"/>
        <v>-0.30880712258527454</v>
      </c>
      <c r="Q35" s="38">
        <f t="shared" si="64"/>
        <v>0.73432239057239057</v>
      </c>
      <c r="R35" s="39">
        <f t="shared" si="65"/>
        <v>7.767824411776357E-2</v>
      </c>
      <c r="S35" s="320">
        <f t="shared" si="66"/>
        <v>1.9599639845400536</v>
      </c>
      <c r="T35" s="41">
        <f t="shared" si="67"/>
        <v>-0.46105368343840142</v>
      </c>
      <c r="U35" s="41">
        <f t="shared" si="68"/>
        <v>-0.15656056173214766</v>
      </c>
      <c r="V35" s="319">
        <f t="shared" si="69"/>
        <v>0.63061882270262071</v>
      </c>
      <c r="W35" s="319">
        <f t="shared" si="69"/>
        <v>0.85507973102514501</v>
      </c>
      <c r="X35" s="44"/>
      <c r="Z35" s="45">
        <f>(N35-P37)^2</f>
        <v>1.9326468110603698E-4</v>
      </c>
      <c r="AA35" s="46">
        <f t="shared" si="70"/>
        <v>3.2029760739332051E-2</v>
      </c>
      <c r="AB35" s="2">
        <v>1</v>
      </c>
      <c r="AC35" s="28"/>
      <c r="AD35" s="28"/>
      <c r="AE35" s="36">
        <f t="shared" si="71"/>
        <v>27466.441714758104</v>
      </c>
      <c r="AF35" s="47"/>
      <c r="AG35" s="48">
        <f>AG37</f>
        <v>-3.941981789393853E-3</v>
      </c>
      <c r="AH35" s="48" t="str">
        <f>AH37</f>
        <v>0</v>
      </c>
      <c r="AI35" s="46">
        <f t="shared" si="72"/>
        <v>6.0339096092188703E-3</v>
      </c>
      <c r="AJ35" s="49">
        <f t="shared" si="73"/>
        <v>165.73002659372895</v>
      </c>
      <c r="AK35" s="50">
        <f>AJ35/AJ37</f>
        <v>0.23873764718844043</v>
      </c>
      <c r="AL35" s="51">
        <f t="shared" si="74"/>
        <v>-51.178612638390469</v>
      </c>
      <c r="AM35" s="51">
        <f t="shared" si="75"/>
        <v>-0.30880712258527454</v>
      </c>
      <c r="AN35" s="319">
        <f t="shared" si="76"/>
        <v>0.73432239057239057</v>
      </c>
      <c r="AO35" s="38">
        <f t="shared" si="77"/>
        <v>6.0339096092188703E-3</v>
      </c>
      <c r="AP35" s="319">
        <f t="shared" si="78"/>
        <v>7.767824411776357E-2</v>
      </c>
      <c r="AQ35" s="320">
        <f t="shared" si="79"/>
        <v>1.9599639845400536</v>
      </c>
      <c r="AR35" s="41">
        <f t="shared" si="80"/>
        <v>-0.46105368343840142</v>
      </c>
      <c r="AS35" s="41">
        <f t="shared" si="81"/>
        <v>-0.15655776411445796</v>
      </c>
      <c r="AT35" s="53">
        <f t="shared" si="82"/>
        <v>0.63061882270262071</v>
      </c>
      <c r="AU35" s="53">
        <f t="shared" si="82"/>
        <v>0.85508212321467281</v>
      </c>
      <c r="AV35" s="17"/>
      <c r="AX35" s="54"/>
      <c r="AY35" s="54">
        <v>1</v>
      </c>
      <c r="AZ35" s="55"/>
      <c r="BA35" s="55"/>
      <c r="BC35" s="28"/>
      <c r="BD35" s="28"/>
      <c r="BE35" s="2"/>
      <c r="BF35" s="2"/>
      <c r="BG35" s="2"/>
      <c r="BH35" s="2"/>
      <c r="BI35" s="2"/>
      <c r="BJ35" s="2"/>
      <c r="BK35" s="2"/>
      <c r="BL35" s="2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256">
      <c r="A36" s="547"/>
      <c r="B36" s="29" t="s">
        <v>232</v>
      </c>
      <c r="C36" s="30">
        <v>329</v>
      </c>
      <c r="D36" s="31">
        <f t="shared" si="83"/>
        <v>2802</v>
      </c>
      <c r="E36" s="32">
        <v>3131</v>
      </c>
      <c r="F36" s="30">
        <v>418</v>
      </c>
      <c r="G36" s="31">
        <f t="shared" si="84"/>
        <v>2714</v>
      </c>
      <c r="H36" s="32">
        <v>3132</v>
      </c>
      <c r="I36" s="33"/>
      <c r="K36" s="34">
        <f t="shared" si="58"/>
        <v>0.78733272308555136</v>
      </c>
      <c r="L36" s="35">
        <f t="shared" si="59"/>
        <v>4.7931865959883668E-3</v>
      </c>
      <c r="M36" s="36">
        <f t="shared" si="60"/>
        <v>208.62947435364708</v>
      </c>
      <c r="N36" s="37">
        <f t="shared" si="61"/>
        <v>-0.23910434597509639</v>
      </c>
      <c r="O36" s="37">
        <f t="shared" si="62"/>
        <v>-49.88421401645693</v>
      </c>
      <c r="P36" s="37">
        <f t="shared" si="63"/>
        <v>-0.23910434597509639</v>
      </c>
      <c r="Q36" s="38">
        <f t="shared" si="64"/>
        <v>0.78733272308555136</v>
      </c>
      <c r="R36" s="39">
        <f t="shared" si="65"/>
        <v>6.92328433331202E-2</v>
      </c>
      <c r="S36" s="320">
        <f t="shared" si="66"/>
        <v>1.9599639845400536</v>
      </c>
      <c r="T36" s="41">
        <f t="shared" si="67"/>
        <v>-0.37479822545531594</v>
      </c>
      <c r="U36" s="41">
        <f t="shared" si="68"/>
        <v>-0.10341046649487684</v>
      </c>
      <c r="V36" s="319">
        <f t="shared" si="69"/>
        <v>0.68742797026400038</v>
      </c>
      <c r="W36" s="319">
        <f t="shared" si="69"/>
        <v>0.90175675657079446</v>
      </c>
      <c r="X36" s="44"/>
      <c r="Z36" s="45">
        <f>(N36-P37)^2</f>
        <v>3.1137303746779912E-3</v>
      </c>
      <c r="AA36" s="46">
        <f t="shared" si="70"/>
        <v>0.64961593134805384</v>
      </c>
      <c r="AB36" s="2">
        <v>1</v>
      </c>
      <c r="AC36" s="28"/>
      <c r="AD36" s="28"/>
      <c r="AE36" s="36">
        <f t="shared" si="71"/>
        <v>43526.257569079084</v>
      </c>
      <c r="AF36" s="47"/>
      <c r="AG36" s="48">
        <f>AG37</f>
        <v>-3.941981789393853E-3</v>
      </c>
      <c r="AH36" s="48" t="str">
        <f>AH37</f>
        <v>0</v>
      </c>
      <c r="AI36" s="46">
        <f t="shared" si="72"/>
        <v>4.7931865959883668E-3</v>
      </c>
      <c r="AJ36" s="49">
        <f t="shared" si="73"/>
        <v>208.62947435364708</v>
      </c>
      <c r="AK36" s="50">
        <f>AJ36/AJ37</f>
        <v>0.30053521902491176</v>
      </c>
      <c r="AL36" s="51">
        <f t="shared" si="74"/>
        <v>-49.88421401645693</v>
      </c>
      <c r="AM36" s="51">
        <f t="shared" si="75"/>
        <v>-0.23910434597509639</v>
      </c>
      <c r="AN36" s="319">
        <f t="shared" si="76"/>
        <v>0.78733272308555136</v>
      </c>
      <c r="AO36" s="38">
        <f t="shared" si="77"/>
        <v>4.7931865959883668E-3</v>
      </c>
      <c r="AP36" s="319">
        <f t="shared" si="78"/>
        <v>6.92328433331202E-2</v>
      </c>
      <c r="AQ36" s="320">
        <f t="shared" si="79"/>
        <v>1.9599639845400536</v>
      </c>
      <c r="AR36" s="41">
        <f t="shared" si="80"/>
        <v>-0.37479822545531594</v>
      </c>
      <c r="AS36" s="41">
        <f t="shared" si="81"/>
        <v>-0.1034079730421808</v>
      </c>
      <c r="AT36" s="53">
        <f t="shared" si="82"/>
        <v>0.68742797026400038</v>
      </c>
      <c r="AU36" s="53">
        <f t="shared" si="82"/>
        <v>0.90175900506141349</v>
      </c>
      <c r="AV36" s="17"/>
      <c r="AX36" s="54"/>
      <c r="AY36" s="54">
        <v>1</v>
      </c>
      <c r="AZ36" s="55"/>
      <c r="BA36" s="55"/>
      <c r="BC36" s="28"/>
      <c r="BD36" s="28"/>
      <c r="BE36" s="2"/>
      <c r="BF36" s="2"/>
      <c r="BG36" s="2"/>
      <c r="BH36" s="2"/>
      <c r="BI36" s="2"/>
      <c r="BJ36" s="2"/>
      <c r="BK36" s="2"/>
      <c r="BL36" s="2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256">
      <c r="A37" s="547"/>
      <c r="B37" s="56">
        <f>COUNT(D33:D36)</f>
        <v>4</v>
      </c>
      <c r="C37" s="57">
        <f t="shared" ref="C37:H37" si="85">SUM(C33:C36)</f>
        <v>1065</v>
      </c>
      <c r="D37" s="57">
        <f t="shared" si="85"/>
        <v>9299</v>
      </c>
      <c r="E37" s="57">
        <f t="shared" si="85"/>
        <v>10364</v>
      </c>
      <c r="F37" s="57">
        <f t="shared" si="85"/>
        <v>1430</v>
      </c>
      <c r="G37" s="57">
        <f t="shared" si="85"/>
        <v>8931</v>
      </c>
      <c r="H37" s="57">
        <f t="shared" si="85"/>
        <v>10361</v>
      </c>
      <c r="I37" s="58"/>
      <c r="K37" s="59"/>
      <c r="L37" s="60"/>
      <c r="M37" s="61">
        <f>SUM(M33:M36)</f>
        <v>694.19309667115431</v>
      </c>
      <c r="N37" s="62"/>
      <c r="O37" s="63">
        <f>SUM(O33:O36)</f>
        <v>-204.72112331393197</v>
      </c>
      <c r="P37" s="64">
        <f>O37/M37</f>
        <v>-0.29490515577816279</v>
      </c>
      <c r="Q37" s="497">
        <f>EXP(P37)</f>
        <v>0.74460220533375121</v>
      </c>
      <c r="R37" s="497">
        <f>SQRT(1/M37)</f>
        <v>3.7954201130476123E-2</v>
      </c>
      <c r="S37" s="520">
        <f t="shared" si="66"/>
        <v>1.9599639845400536</v>
      </c>
      <c r="T37" s="499">
        <f>P37-(R37*S37)</f>
        <v>-0.36929402305588538</v>
      </c>
      <c r="U37" s="499">
        <f>P37+(R37*S37)</f>
        <v>-0.22051628850044019</v>
      </c>
      <c r="V37" s="497">
        <f>EXP(T37)</f>
        <v>0.69122214532199255</v>
      </c>
      <c r="W37" s="497">
        <f>EXP(U37)</f>
        <v>0.8021045736745227</v>
      </c>
      <c r="X37" s="66"/>
      <c r="Y37" s="66"/>
      <c r="Z37" s="67"/>
      <c r="AA37" s="68">
        <f>SUM(AA33:AA36)</f>
        <v>0.95801363680112495</v>
      </c>
      <c r="AB37" s="69">
        <f>SUM(AB33:AB36)</f>
        <v>4</v>
      </c>
      <c r="AC37" s="70">
        <f>AA37-(AB37-1)</f>
        <v>-2.0419863631988751</v>
      </c>
      <c r="AD37" s="61">
        <f>M37</f>
        <v>694.19309667115431</v>
      </c>
      <c r="AE37" s="61">
        <f>SUM(AE33:AE36)</f>
        <v>122305.02316105569</v>
      </c>
      <c r="AF37" s="71">
        <f>AE37/AD37</f>
        <v>176.18300116717052</v>
      </c>
      <c r="AG37" s="72">
        <f>AC37/(AD37-AF37)</f>
        <v>-3.941981789393853E-3</v>
      </c>
      <c r="AH37" s="72" t="str">
        <f>IF(AA37&lt;AB37-1,"0",AG37)</f>
        <v>0</v>
      </c>
      <c r="AI37" s="67"/>
      <c r="AJ37" s="61">
        <f>SUM(AJ33:AJ36)</f>
        <v>694.19309667115431</v>
      </c>
      <c r="AK37" s="73">
        <f>SUM(AK33:AK36)</f>
        <v>1.0000000000000002</v>
      </c>
      <c r="AL37" s="70">
        <f>SUM(AL33:AL36)</f>
        <v>-204.72112331393197</v>
      </c>
      <c r="AM37" s="70">
        <f>AL37/AJ37</f>
        <v>-0.29490515577816279</v>
      </c>
      <c r="AN37" s="497">
        <f>EXP(AM37)</f>
        <v>0.74460220533375121</v>
      </c>
      <c r="AO37" s="64">
        <f>1/AJ37</f>
        <v>1.440521383452635E-3</v>
      </c>
      <c r="AP37" s="63">
        <f>SQRT(AO37)</f>
        <v>3.7954201130476123E-2</v>
      </c>
      <c r="AQ37" s="320">
        <f t="shared" si="79"/>
        <v>1.9599639845400536</v>
      </c>
      <c r="AR37" s="65">
        <f>AM37-(AQ37*AP37)</f>
        <v>-0.36929402305588538</v>
      </c>
      <c r="AS37" s="65">
        <f>AM37+(1.96*AP37)</f>
        <v>-0.22051492156242958</v>
      </c>
      <c r="AT37" s="519">
        <f>EXP(AR37)</f>
        <v>0.69122214532199255</v>
      </c>
      <c r="AU37" s="519">
        <f>EXP(AS37)</f>
        <v>0.80210567010250233</v>
      </c>
      <c r="AV37" s="76"/>
      <c r="AW37" s="77"/>
      <c r="AX37" s="78">
        <f>AA37</f>
        <v>0.95801363680112495</v>
      </c>
      <c r="AY37" s="56">
        <f>SUM(AY33:AY36)</f>
        <v>4</v>
      </c>
      <c r="AZ37" s="79">
        <f>(AX37-(AY37-1))/AX37</f>
        <v>-2.1314794328160205</v>
      </c>
      <c r="BA37" s="80" t="str">
        <f>IF(AA37&lt;AB37-1,"0%",AZ37)</f>
        <v>0%</v>
      </c>
      <c r="BB37" s="77"/>
      <c r="BC37" s="63">
        <f>AX37/(AY37-1)</f>
        <v>0.3193378789337083</v>
      </c>
      <c r="BD37" s="81">
        <f>LN(BC37)</f>
        <v>-1.1415055551239914</v>
      </c>
      <c r="BE37" s="63">
        <f>LN(AX37)</f>
        <v>-4.2893266455881651E-2</v>
      </c>
      <c r="BF37" s="63">
        <f>LN(AY37-1)</f>
        <v>1.0986122886681098</v>
      </c>
      <c r="BG37" s="63">
        <f>SQRT(2*AX37)</f>
        <v>1.3842063695859264</v>
      </c>
      <c r="BH37" s="63">
        <f>SQRT(2*AY37-3)</f>
        <v>2.2360679774997898</v>
      </c>
      <c r="BI37" s="63">
        <f>2*(AY37-2)</f>
        <v>4</v>
      </c>
      <c r="BJ37" s="63">
        <f>3*(AY37-2)^2</f>
        <v>12</v>
      </c>
      <c r="BK37" s="63">
        <f>1/BI37</f>
        <v>0.25</v>
      </c>
      <c r="BL37" s="82">
        <f>1/BJ37</f>
        <v>8.3333333333333329E-2</v>
      </c>
      <c r="BM37" s="82">
        <f>SQRT(BK37*(1-BL37))</f>
        <v>0.47871355387816905</v>
      </c>
      <c r="BN37" s="83">
        <f>0.5*(BE37-BF37)/(BG37-BH37)</f>
        <v>0.67000645675266512</v>
      </c>
      <c r="BO37" s="83">
        <f>IF(AA37&lt;=AB37,BM37,BN37)</f>
        <v>0.47871355387816905</v>
      </c>
      <c r="BP37" s="70">
        <f>BD37-(1.96*BO37)</f>
        <v>-2.0797841207252028</v>
      </c>
      <c r="BQ37" s="70">
        <f>BD37+(1.96*BO37)</f>
        <v>-0.20322698952278007</v>
      </c>
      <c r="BR37" s="70"/>
      <c r="BS37" s="81">
        <f>EXP(BP37)</f>
        <v>0.12495718495351675</v>
      </c>
      <c r="BT37" s="81">
        <f>EXP(BQ37)</f>
        <v>0.81609297584460139</v>
      </c>
      <c r="BU37" s="84" t="str">
        <f>BA37</f>
        <v>0%</v>
      </c>
      <c r="BV37" s="84">
        <f>(BS37-1)/BS37</f>
        <v>-7.002741101858156</v>
      </c>
      <c r="BW37" s="84">
        <f>(BT37-1)/BT37</f>
        <v>-0.2253505784252918</v>
      </c>
    </row>
    <row r="38" spans="1:256" ht="13.5" thickBot="1">
      <c r="A38" s="424"/>
      <c r="C38" s="116"/>
      <c r="D38" s="116"/>
      <c r="E38" s="116"/>
      <c r="F38" s="116"/>
      <c r="G38" s="85"/>
      <c r="H38" s="85"/>
      <c r="I38" s="86"/>
      <c r="R38" s="87"/>
      <c r="S38" s="87"/>
      <c r="T38" s="87"/>
      <c r="U38" s="87"/>
      <c r="V38" s="87"/>
      <c r="W38" s="87"/>
      <c r="X38" s="87"/>
      <c r="AB38" s="88"/>
      <c r="AC38" s="89"/>
      <c r="AD38" s="90"/>
      <c r="AE38" s="89"/>
      <c r="AF38" s="91"/>
      <c r="AG38" s="91"/>
      <c r="AH38" s="91"/>
      <c r="AI38" s="91"/>
      <c r="AT38" s="92"/>
      <c r="AU38" s="92"/>
      <c r="AV38" s="92"/>
      <c r="AX38" s="5" t="s">
        <v>56</v>
      </c>
      <c r="BG38" s="11"/>
      <c r="BN38" s="89" t="s">
        <v>57</v>
      </c>
      <c r="BT38" s="93" t="s">
        <v>58</v>
      </c>
      <c r="BU38" s="504" t="str">
        <f>BU37</f>
        <v>0%</v>
      </c>
      <c r="BV38" s="504" t="str">
        <f>IF(BV37&lt;0,"0%",BV37)</f>
        <v>0%</v>
      </c>
      <c r="BW38" s="505" t="str">
        <f>IF(BW37&lt;0,"0%",BW37)</f>
        <v>0%</v>
      </c>
    </row>
    <row r="39" spans="1:256" s="15" customFormat="1" ht="26.5" thickBot="1">
      <c r="A39" s="599"/>
      <c r="B39" s="570"/>
      <c r="C39" s="571"/>
      <c r="D39" s="571"/>
      <c r="E39" s="571"/>
      <c r="F39" s="571"/>
      <c r="G39" s="571"/>
      <c r="H39" s="571"/>
      <c r="I39" s="573"/>
      <c r="J39" s="570"/>
      <c r="K39" s="570"/>
      <c r="L39" s="570"/>
      <c r="R39" s="574"/>
      <c r="S39" s="574"/>
      <c r="T39" s="574"/>
      <c r="U39" s="574"/>
      <c r="V39" s="574"/>
      <c r="W39" s="574"/>
      <c r="X39" s="574"/>
      <c r="AI39" s="575"/>
      <c r="AJ39" s="576"/>
      <c r="AK39" s="576"/>
      <c r="AL39" s="577"/>
      <c r="AM39" s="578"/>
      <c r="AO39" s="100" t="s">
        <v>59</v>
      </c>
      <c r="AP39" s="101">
        <f>TINV((1-$H$1),(AB37-2))</f>
        <v>4.3026527297494619</v>
      </c>
      <c r="AR39" s="579" t="s">
        <v>60</v>
      </c>
      <c r="AS39" s="102">
        <f>$H$1</f>
        <v>0.95</v>
      </c>
      <c r="AT39" s="507">
        <f>EXP(AM37-AP39*SQRT((1/AD37)+AH37))</f>
        <v>0.63241534902067853</v>
      </c>
      <c r="AU39" s="507">
        <f>EXP(AM37+AP39*SQRT((1/AD37)+AH37))</f>
        <v>0.87669036661815292</v>
      </c>
      <c r="AV39" s="17"/>
      <c r="AX39" s="103">
        <f>_xlfn.CHISQ.DIST.RT(AX37,AY37-1)</f>
        <v>0.81140990321485496</v>
      </c>
      <c r="AY39" s="104" t="str">
        <f>IF(AX39&lt;0.05,"heterogeneidad","homogeneidad")</f>
        <v>homogeneidad</v>
      </c>
      <c r="BF39" s="580"/>
      <c r="BG39" s="575"/>
      <c r="BH39" s="575"/>
      <c r="BJ39" s="581"/>
      <c r="BL39" s="575"/>
      <c r="BM39" s="582"/>
      <c r="BQ39" s="575"/>
    </row>
    <row r="40" spans="1:256" ht="14.5">
      <c r="A40" s="424"/>
      <c r="C40" s="85"/>
      <c r="D40" s="85"/>
      <c r="E40" s="85"/>
      <c r="F40" s="85"/>
      <c r="G40" s="85"/>
      <c r="H40" s="85"/>
      <c r="I40" s="86"/>
      <c r="R40" s="96"/>
      <c r="S40" s="96"/>
      <c r="T40" s="96"/>
      <c r="U40" s="96"/>
      <c r="V40" s="96"/>
      <c r="W40" s="96"/>
      <c r="X40" s="96"/>
      <c r="AF40" s="1"/>
      <c r="AI40" s="11"/>
      <c r="AJ40" s="97"/>
      <c r="AK40" s="97"/>
      <c r="AL40" s="98"/>
      <c r="AM40" s="99"/>
      <c r="AN40" s="107"/>
      <c r="AO40" s="108"/>
      <c r="AP40" s="14"/>
      <c r="AS40" s="109"/>
      <c r="AT40" s="17"/>
      <c r="AU40" s="17"/>
      <c r="AV40" s="17"/>
      <c r="BF40" s="105"/>
      <c r="BG40" s="11"/>
      <c r="BH40" s="11"/>
      <c r="BJ40" s="44"/>
      <c r="BL40" s="11"/>
      <c r="BM40" s="110"/>
      <c r="BQ40" s="11"/>
    </row>
    <row r="41" spans="1:256" ht="13" customHeight="1">
      <c r="A41" s="424"/>
      <c r="C41" s="85"/>
      <c r="D41" s="85"/>
      <c r="E41" s="85"/>
      <c r="F41" s="85"/>
      <c r="G41" s="85"/>
      <c r="H41" s="85"/>
      <c r="I41" s="86"/>
      <c r="J41" s="619" t="s">
        <v>4</v>
      </c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1"/>
      <c r="X41" s="12"/>
      <c r="Y41" s="619" t="s">
        <v>5</v>
      </c>
      <c r="Z41" s="620"/>
      <c r="AA41" s="620"/>
      <c r="AB41" s="620"/>
      <c r="AC41" s="620"/>
      <c r="AD41" s="620"/>
      <c r="AE41" s="620"/>
      <c r="AF41" s="620"/>
      <c r="AG41" s="620"/>
      <c r="AH41" s="620"/>
      <c r="AI41" s="620"/>
      <c r="AJ41" s="620"/>
      <c r="AK41" s="620"/>
      <c r="AL41" s="620"/>
      <c r="AM41" s="620"/>
      <c r="AN41" s="620"/>
      <c r="AO41" s="620"/>
      <c r="AP41" s="620"/>
      <c r="AQ41" s="620"/>
      <c r="AR41" s="620"/>
      <c r="AS41" s="620"/>
      <c r="AT41" s="620"/>
      <c r="AU41" s="621"/>
      <c r="AV41" s="12"/>
      <c r="AW41" s="619" t="s">
        <v>229</v>
      </c>
      <c r="AX41" s="620"/>
      <c r="AY41" s="620"/>
      <c r="AZ41" s="620"/>
      <c r="BA41" s="620"/>
      <c r="BB41" s="620"/>
      <c r="BC41" s="620"/>
      <c r="BD41" s="620"/>
      <c r="BE41" s="620"/>
      <c r="BF41" s="620"/>
      <c r="BG41" s="620"/>
      <c r="BH41" s="620"/>
      <c r="BI41" s="620"/>
      <c r="BJ41" s="620"/>
      <c r="BK41" s="620"/>
      <c r="BL41" s="620"/>
      <c r="BM41" s="620"/>
      <c r="BN41" s="620"/>
      <c r="BO41" s="620"/>
      <c r="BP41" s="620"/>
      <c r="BQ41" s="620"/>
      <c r="BR41" s="620"/>
      <c r="BS41" s="620"/>
      <c r="BT41" s="620"/>
      <c r="BU41" s="620"/>
      <c r="BV41" s="620"/>
      <c r="BW41" s="621"/>
    </row>
    <row r="42" spans="1:256">
      <c r="A42" s="554" t="s">
        <v>474</v>
      </c>
      <c r="B42" s="13" t="s">
        <v>6</v>
      </c>
      <c r="C42" s="618" t="s">
        <v>7</v>
      </c>
      <c r="D42" s="618"/>
      <c r="E42" s="618"/>
      <c r="F42" s="618" t="s">
        <v>8</v>
      </c>
      <c r="G42" s="618"/>
      <c r="H42" s="618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60">
      <c r="A43" s="568" t="s">
        <v>372</v>
      </c>
      <c r="B43" s="559" t="s">
        <v>376</v>
      </c>
      <c r="C43" s="560" t="s">
        <v>9</v>
      </c>
      <c r="D43" s="560" t="s">
        <v>10</v>
      </c>
      <c r="E43" s="560" t="s">
        <v>11</v>
      </c>
      <c r="F43" s="560" t="s">
        <v>9</v>
      </c>
      <c r="G43" s="560" t="s">
        <v>10</v>
      </c>
      <c r="H43" s="560" t="s">
        <v>11</v>
      </c>
      <c r="I43" s="17"/>
      <c r="K43" s="18" t="s">
        <v>12</v>
      </c>
      <c r="L43" s="18" t="s">
        <v>13</v>
      </c>
      <c r="M43" s="18" t="s">
        <v>14</v>
      </c>
      <c r="N43" s="19" t="s">
        <v>15</v>
      </c>
      <c r="O43" s="19" t="s">
        <v>16</v>
      </c>
      <c r="P43" s="19" t="s">
        <v>17</v>
      </c>
      <c r="Q43" s="507" t="s">
        <v>18</v>
      </c>
      <c r="R43" s="507" t="s">
        <v>19</v>
      </c>
      <c r="S43" s="555" t="s">
        <v>3</v>
      </c>
      <c r="T43" s="507" t="s">
        <v>20</v>
      </c>
      <c r="U43" s="507" t="s">
        <v>21</v>
      </c>
      <c r="V43" s="507" t="s">
        <v>22</v>
      </c>
      <c r="W43" s="507" t="s">
        <v>22</v>
      </c>
      <c r="X43" s="20"/>
      <c r="Y43" s="21"/>
      <c r="Z43" s="22" t="s">
        <v>23</v>
      </c>
      <c r="AA43" s="19" t="s">
        <v>24</v>
      </c>
      <c r="AB43" s="3" t="s">
        <v>25</v>
      </c>
      <c r="AC43" s="3" t="s">
        <v>26</v>
      </c>
      <c r="AD43" s="3" t="s">
        <v>27</v>
      </c>
      <c r="AE43" s="19" t="s">
        <v>28</v>
      </c>
      <c r="AF43" s="19" t="s">
        <v>29</v>
      </c>
      <c r="AG43" s="23" t="s">
        <v>30</v>
      </c>
      <c r="AH43" s="23" t="s">
        <v>31</v>
      </c>
      <c r="AI43" s="3" t="s">
        <v>32</v>
      </c>
      <c r="AJ43" s="19" t="s">
        <v>33</v>
      </c>
      <c r="AK43" s="19" t="s">
        <v>34</v>
      </c>
      <c r="AL43" s="19" t="s">
        <v>35</v>
      </c>
      <c r="AM43" s="3" t="s">
        <v>36</v>
      </c>
      <c r="AN43" s="496" t="s">
        <v>37</v>
      </c>
      <c r="AO43" s="19" t="s">
        <v>38</v>
      </c>
      <c r="AP43" s="19" t="s">
        <v>39</v>
      </c>
      <c r="AQ43" s="3" t="s">
        <v>3</v>
      </c>
      <c r="AR43" s="19" t="s">
        <v>40</v>
      </c>
      <c r="AS43" s="19" t="s">
        <v>41</v>
      </c>
      <c r="AT43" s="495" t="s">
        <v>22</v>
      </c>
      <c r="AU43" s="495" t="s">
        <v>22</v>
      </c>
      <c r="AV43" s="20"/>
      <c r="AX43" s="24" t="s">
        <v>42</v>
      </c>
      <c r="AY43" s="24" t="s">
        <v>25</v>
      </c>
      <c r="AZ43" s="25" t="s">
        <v>61</v>
      </c>
      <c r="BA43" s="26" t="s">
        <v>62</v>
      </c>
      <c r="BC43" s="3" t="s">
        <v>63</v>
      </c>
      <c r="BD43" s="3" t="s">
        <v>64</v>
      </c>
      <c r="BE43" s="3" t="s">
        <v>43</v>
      </c>
      <c r="BF43" s="3" t="s">
        <v>44</v>
      </c>
      <c r="BG43" s="3" t="s">
        <v>45</v>
      </c>
      <c r="BH43" s="3" t="s">
        <v>46</v>
      </c>
      <c r="BI43" s="3" t="s">
        <v>47</v>
      </c>
      <c r="BJ43" s="3" t="s">
        <v>65</v>
      </c>
      <c r="BK43" s="3" t="s">
        <v>48</v>
      </c>
      <c r="BL43" s="3" t="s">
        <v>49</v>
      </c>
      <c r="BM43" s="27" t="s">
        <v>66</v>
      </c>
      <c r="BN43" s="27" t="s">
        <v>67</v>
      </c>
      <c r="BO43" s="27" t="s">
        <v>68</v>
      </c>
      <c r="BP43" s="27" t="s">
        <v>69</v>
      </c>
      <c r="BQ43" s="27" t="s">
        <v>70</v>
      </c>
      <c r="BR43" s="28"/>
      <c r="BS43" s="19" t="s">
        <v>71</v>
      </c>
      <c r="BT43" s="19" t="s">
        <v>72</v>
      </c>
      <c r="BU43" s="495" t="s">
        <v>226</v>
      </c>
      <c r="BV43" s="495" t="s">
        <v>227</v>
      </c>
      <c r="BW43" s="495" t="s">
        <v>228</v>
      </c>
    </row>
    <row r="44" spans="1:256">
      <c r="A44" s="547" t="s">
        <v>298</v>
      </c>
      <c r="B44" s="561" t="s">
        <v>231</v>
      </c>
      <c r="C44" s="562">
        <v>133</v>
      </c>
      <c r="D44" s="563">
        <f>E44-C44</f>
        <v>1165</v>
      </c>
      <c r="E44" s="564">
        <v>1298</v>
      </c>
      <c r="F44" s="562">
        <v>151</v>
      </c>
      <c r="G44" s="563">
        <f>H44-F44</f>
        <v>1156</v>
      </c>
      <c r="H44" s="564">
        <v>1307</v>
      </c>
      <c r="I44" s="33"/>
      <c r="K44" s="34">
        <f>(C44/E44)/(F44/H44)</f>
        <v>0.88690190716231798</v>
      </c>
      <c r="L44" s="35">
        <f>(D44/(C44*E44)+(G44/(F44*H44)))</f>
        <v>1.2605786583032824E-2</v>
      </c>
      <c r="M44" s="36">
        <f>1/L44</f>
        <v>79.328647475753968</v>
      </c>
      <c r="N44" s="37">
        <f>LN(K44)</f>
        <v>-0.12002089223298393</v>
      </c>
      <c r="O44" s="37">
        <f>M44*N44</f>
        <v>-9.5210950496758393</v>
      </c>
      <c r="P44" s="37">
        <f>LN(K44)</f>
        <v>-0.12002089223298393</v>
      </c>
      <c r="Q44" s="38">
        <f>K44</f>
        <v>0.88690190716231798</v>
      </c>
      <c r="R44" s="39">
        <f>SQRT(1/M44)</f>
        <v>0.11227549413399535</v>
      </c>
      <c r="S44" s="320">
        <f>$H$2</f>
        <v>1.9599639845400536</v>
      </c>
      <c r="T44" s="41">
        <f>P44-(R44*S44)</f>
        <v>-0.34007681708205284</v>
      </c>
      <c r="U44" s="41">
        <f>P44+(R44*S44)</f>
        <v>0.10003503261608501</v>
      </c>
      <c r="V44" s="319">
        <f>EXP(T44)</f>
        <v>0.71171564874329951</v>
      </c>
      <c r="W44" s="319">
        <f>EXP(U44)</f>
        <v>1.1052096357823162</v>
      </c>
      <c r="X44" s="44"/>
      <c r="Z44" s="45">
        <f>(N44-P46)^2</f>
        <v>6.9932471873838313E-4</v>
      </c>
      <c r="AA44" s="46">
        <f>M44*Z44</f>
        <v>5.5476484083877987E-2</v>
      </c>
      <c r="AB44" s="2">
        <v>1</v>
      </c>
      <c r="AC44" s="28"/>
      <c r="AD44" s="28"/>
      <c r="AE44" s="36">
        <f>M44^2</f>
        <v>6293.0343103324467</v>
      </c>
      <c r="AF44" s="47"/>
      <c r="AG44" s="48">
        <f>AG46</f>
        <v>-9.7687328894734641E-3</v>
      </c>
      <c r="AH44" s="48" t="str">
        <f>AH46</f>
        <v>0</v>
      </c>
      <c r="AI44" s="46">
        <f>1/M44</f>
        <v>1.2605786583032822E-2</v>
      </c>
      <c r="AJ44" s="49">
        <f>1/(AH44+AI44)</f>
        <v>79.328647475753968</v>
      </c>
      <c r="AK44" s="50">
        <f>AJ44/AJ46</f>
        <v>0.41608962622609535</v>
      </c>
      <c r="AL44" s="51">
        <f>AJ44*N44</f>
        <v>-9.5210950496758393</v>
      </c>
      <c r="AM44" s="51">
        <f>AL44/AJ44</f>
        <v>-0.12002089223298393</v>
      </c>
      <c r="AN44" s="319">
        <f>EXP(AM44)</f>
        <v>0.88690190716231798</v>
      </c>
      <c r="AO44" s="38">
        <f>1/AJ44</f>
        <v>1.2605786583032822E-2</v>
      </c>
      <c r="AP44" s="319">
        <f>SQRT(AO44)</f>
        <v>0.11227549413399535</v>
      </c>
      <c r="AQ44" s="320">
        <f>$H$2</f>
        <v>1.9599639845400536</v>
      </c>
      <c r="AR44" s="41">
        <f>AM44-(AQ44*AP44)</f>
        <v>-0.34007681708205284</v>
      </c>
      <c r="AS44" s="41">
        <f>AM44+(1.96*AP44)</f>
        <v>0.10003907626964695</v>
      </c>
      <c r="AT44" s="53">
        <f>EXP(AR44)</f>
        <v>0.71171564874329951</v>
      </c>
      <c r="AU44" s="53">
        <f>EXP(AS44)</f>
        <v>1.1052141048762323</v>
      </c>
      <c r="AV44" s="17"/>
      <c r="AX44" s="54"/>
      <c r="AY44" s="54">
        <v>1</v>
      </c>
      <c r="AZ44" s="55"/>
      <c r="BA44" s="55"/>
      <c r="BC44" s="28"/>
      <c r="BD44" s="28"/>
      <c r="BE44" s="2"/>
      <c r="BF44" s="2"/>
      <c r="BG44" s="2"/>
      <c r="BH44" s="2"/>
      <c r="BI44" s="2"/>
      <c r="BJ44" s="2"/>
      <c r="BK44" s="2"/>
      <c r="BL44" s="2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</row>
    <row r="45" spans="1:256">
      <c r="A45" s="547" t="s">
        <v>299</v>
      </c>
      <c r="B45" s="561" t="s">
        <v>370</v>
      </c>
      <c r="C45" s="562">
        <v>188</v>
      </c>
      <c r="D45" s="563">
        <f t="shared" ref="D45" si="86">E45-C45</f>
        <v>1343</v>
      </c>
      <c r="E45" s="564">
        <v>1531</v>
      </c>
      <c r="F45" s="562">
        <v>201</v>
      </c>
      <c r="G45" s="563">
        <f t="shared" ref="G45" si="87">H45-F45</f>
        <v>1318</v>
      </c>
      <c r="H45" s="564">
        <v>1519</v>
      </c>
      <c r="I45" s="33"/>
      <c r="K45" s="34">
        <f t="shared" ref="K45" si="88">(C45/E45)/(F45/H45)</f>
        <v>0.92799230496765028</v>
      </c>
      <c r="L45" s="35">
        <f t="shared" ref="L45" si="89">(D45/(C45*E45)+(G45/(F45*H45)))</f>
        <v>8.9827776028706431E-3</v>
      </c>
      <c r="M45" s="36">
        <f t="shared" ref="M45" si="90">1/L45</f>
        <v>111.32414095172835</v>
      </c>
      <c r="N45" s="37">
        <f t="shared" ref="N45" si="91">LN(K45)</f>
        <v>-7.4731838291037481E-2</v>
      </c>
      <c r="O45" s="37">
        <f t="shared" ref="O45" si="92">M45*N45</f>
        <v>-8.3194576994932259</v>
      </c>
      <c r="P45" s="37">
        <f t="shared" ref="P45" si="93">LN(K45)</f>
        <v>-7.4731838291037481E-2</v>
      </c>
      <c r="Q45" s="38">
        <f t="shared" ref="Q45" si="94">K45</f>
        <v>0.92799230496765028</v>
      </c>
      <c r="R45" s="39">
        <f t="shared" ref="R45" si="95">SQRT(1/M45)</f>
        <v>9.4777516336263232E-2</v>
      </c>
      <c r="S45" s="320">
        <f t="shared" ref="S45:S46" si="96">$H$2</f>
        <v>1.9599639845400536</v>
      </c>
      <c r="T45" s="41">
        <f t="shared" ref="T45" si="97">P45-(R45*S45)</f>
        <v>-0.26049235685426997</v>
      </c>
      <c r="U45" s="41">
        <f t="shared" ref="U45" si="98">P45+(R45*S45)</f>
        <v>0.11102868027219502</v>
      </c>
      <c r="V45" s="319">
        <f t="shared" ref="V45:W45" si="99">EXP(T45)</f>
        <v>0.77067204671230383</v>
      </c>
      <c r="W45" s="319">
        <f t="shared" si="99"/>
        <v>1.1174269545041016</v>
      </c>
      <c r="X45" s="44"/>
      <c r="Z45" s="45">
        <f>(N45-P46)^2</f>
        <v>3.5510785078881544E-4</v>
      </c>
      <c r="AA45" s="46">
        <f t="shared" ref="AA45" si="100">M45*Z45</f>
        <v>3.953207643427941E-2</v>
      </c>
      <c r="AB45" s="2">
        <v>1</v>
      </c>
      <c r="AC45" s="28"/>
      <c r="AD45" s="28"/>
      <c r="AE45" s="36">
        <f t="shared" ref="AE45" si="101">M45^2</f>
        <v>12393.064358640282</v>
      </c>
      <c r="AF45" s="47"/>
      <c r="AG45" s="48">
        <f>AG46</f>
        <v>-9.7687328894734641E-3</v>
      </c>
      <c r="AH45" s="48" t="str">
        <f>AH46</f>
        <v>0</v>
      </c>
      <c r="AI45" s="46">
        <f t="shared" ref="AI45" si="102">1/M45</f>
        <v>8.9827776028706431E-3</v>
      </c>
      <c r="AJ45" s="49">
        <f t="shared" ref="AJ45" si="103">1/(AH45+AI45)</f>
        <v>111.32414095172835</v>
      </c>
      <c r="AK45" s="50">
        <f>AJ45/AJ46</f>
        <v>0.58391037377390453</v>
      </c>
      <c r="AL45" s="51">
        <f t="shared" ref="AL45" si="104">AJ45*N45</f>
        <v>-8.3194576994932259</v>
      </c>
      <c r="AM45" s="51">
        <f t="shared" ref="AM45" si="105">AL45/AJ45</f>
        <v>-7.4731838291037481E-2</v>
      </c>
      <c r="AN45" s="319">
        <f t="shared" ref="AN45" si="106">EXP(AM45)</f>
        <v>0.92799230496765028</v>
      </c>
      <c r="AO45" s="38">
        <f t="shared" ref="AO45" si="107">1/AJ45</f>
        <v>8.9827776028706431E-3</v>
      </c>
      <c r="AP45" s="319">
        <f t="shared" ref="AP45" si="108">SQRT(AO45)</f>
        <v>9.4777516336263232E-2</v>
      </c>
      <c r="AQ45" s="320">
        <f t="shared" ref="AQ45:AQ46" si="109">$H$2</f>
        <v>1.9599639845400536</v>
      </c>
      <c r="AR45" s="41">
        <f t="shared" ref="AR45" si="110">AM45-(AQ45*AP45)</f>
        <v>-0.26049235685426997</v>
      </c>
      <c r="AS45" s="41">
        <f t="shared" ref="AS45" si="111">AM45+(1.96*AP45)</f>
        <v>0.11103209372803845</v>
      </c>
      <c r="AT45" s="53">
        <f t="shared" ref="AT45:AU45" si="112">EXP(AR45)</f>
        <v>0.77067204671230383</v>
      </c>
      <c r="AU45" s="53">
        <f t="shared" si="112"/>
        <v>1.117430768798179</v>
      </c>
      <c r="AV45" s="17"/>
      <c r="AX45" s="54"/>
      <c r="AY45" s="54">
        <v>1</v>
      </c>
      <c r="AZ45" s="55"/>
      <c r="BA45" s="55"/>
      <c r="BC45" s="28"/>
      <c r="BD45" s="28"/>
      <c r="BE45" s="2"/>
      <c r="BF45" s="2"/>
      <c r="BG45" s="2"/>
      <c r="BH45" s="2"/>
      <c r="BI45" s="2"/>
      <c r="BJ45" s="2"/>
      <c r="BK45" s="2"/>
      <c r="BL45" s="2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</row>
    <row r="46" spans="1:256">
      <c r="A46" s="547"/>
      <c r="B46" s="56">
        <f>COUNT(D44:D45)</f>
        <v>2</v>
      </c>
      <c r="C46" s="57">
        <f t="shared" ref="C46:H46" si="113">SUM(C44:C45)</f>
        <v>321</v>
      </c>
      <c r="D46" s="57">
        <f t="shared" si="113"/>
        <v>2508</v>
      </c>
      <c r="E46" s="57">
        <f t="shared" si="113"/>
        <v>2829</v>
      </c>
      <c r="F46" s="57">
        <f t="shared" si="113"/>
        <v>352</v>
      </c>
      <c r="G46" s="57">
        <f t="shared" si="113"/>
        <v>2474</v>
      </c>
      <c r="H46" s="57">
        <f t="shared" si="113"/>
        <v>2826</v>
      </c>
      <c r="I46" s="58"/>
      <c r="K46" s="59"/>
      <c r="L46" s="60"/>
      <c r="M46" s="61">
        <f>SUM(M44:M45)</f>
        <v>190.65278842748234</v>
      </c>
      <c r="N46" s="62"/>
      <c r="O46" s="63">
        <f>SUM(O44:O45)</f>
        <v>-17.840552749169063</v>
      </c>
      <c r="P46" s="64">
        <f>O46/M46</f>
        <v>-9.3576143817875435E-2</v>
      </c>
      <c r="Q46" s="497">
        <f>EXP(P46)</f>
        <v>0.91066867299657639</v>
      </c>
      <c r="R46" s="497">
        <f>SQRT(1/M46)</f>
        <v>7.2423318258831901E-2</v>
      </c>
      <c r="S46" s="520">
        <f t="shared" si="96"/>
        <v>1.9599639845400536</v>
      </c>
      <c r="T46" s="499">
        <f>P46-(R46*S46)</f>
        <v>-0.23552323924606802</v>
      </c>
      <c r="U46" s="499">
        <f>P46+(R46*S46)</f>
        <v>4.8370951610317153E-2</v>
      </c>
      <c r="V46" s="497">
        <f>EXP(T46)</f>
        <v>0.79015730013551011</v>
      </c>
      <c r="W46" s="497">
        <f>EXP(U46)</f>
        <v>1.0495599190631022</v>
      </c>
      <c r="X46" s="66"/>
      <c r="Y46" s="66"/>
      <c r="Z46" s="67"/>
      <c r="AA46" s="68">
        <f>SUM(AA44:AA45)</f>
        <v>9.5008560518157398E-2</v>
      </c>
      <c r="AB46" s="69">
        <f>SUM(AB44:AB45)</f>
        <v>2</v>
      </c>
      <c r="AC46" s="70">
        <f>AA46-(AB46-1)</f>
        <v>-0.90499143948184257</v>
      </c>
      <c r="AD46" s="61">
        <f>M46</f>
        <v>190.65278842748234</v>
      </c>
      <c r="AE46" s="61">
        <f>SUM(AE44:AE45)</f>
        <v>18686.098668972729</v>
      </c>
      <c r="AF46" s="71">
        <f>AE46/AD46</f>
        <v>98.0111480303907</v>
      </c>
      <c r="AG46" s="72">
        <f>AC46/(AD46-AF46)</f>
        <v>-9.7687328894734641E-3</v>
      </c>
      <c r="AH46" s="72" t="str">
        <f>IF(AA46&lt;AB46-1,"0",AG46)</f>
        <v>0</v>
      </c>
      <c r="AI46" s="67"/>
      <c r="AJ46" s="61">
        <f>SUM(AJ44:AJ45)</f>
        <v>190.65278842748234</v>
      </c>
      <c r="AK46" s="73">
        <f>SUM(AK44:AK45)</f>
        <v>0.99999999999999989</v>
      </c>
      <c r="AL46" s="70">
        <f>SUM(AL44:AL45)</f>
        <v>-17.840552749169063</v>
      </c>
      <c r="AM46" s="70">
        <f>AL46/AJ46</f>
        <v>-9.3576143817875435E-2</v>
      </c>
      <c r="AN46" s="497">
        <f>EXP(AM46)</f>
        <v>0.91066867299657639</v>
      </c>
      <c r="AO46" s="64">
        <f>1/AJ46</f>
        <v>5.2451370276200551E-3</v>
      </c>
      <c r="AP46" s="63">
        <f>SQRT(AO46)</f>
        <v>7.2423318258831901E-2</v>
      </c>
      <c r="AQ46" s="320">
        <f t="shared" si="109"/>
        <v>1.9599639845400536</v>
      </c>
      <c r="AR46" s="65">
        <f>AM46-(AQ46*AP46)</f>
        <v>-0.23552323924606802</v>
      </c>
      <c r="AS46" s="65">
        <f>AM46+(1.96*AP46)</f>
        <v>4.8373559969435098E-2</v>
      </c>
      <c r="AT46" s="519">
        <f>EXP(AR46)</f>
        <v>0.79015730013551011</v>
      </c>
      <c r="AU46" s="519">
        <f>EXP(AS46)</f>
        <v>1.0495626566958574</v>
      </c>
      <c r="AV46" s="76"/>
      <c r="AW46" s="77"/>
      <c r="AX46" s="78">
        <f>AA46</f>
        <v>9.5008560518157398E-2</v>
      </c>
      <c r="AY46" s="56">
        <f>SUM(AY44:AY45)</f>
        <v>2</v>
      </c>
      <c r="AZ46" s="79">
        <f>(AX46-(AY46-1))/AX46</f>
        <v>-9.5253673410711936</v>
      </c>
      <c r="BA46" s="80" t="str">
        <f>IF(AA46&lt;AB46-1,"0%",AZ46)</f>
        <v>0%</v>
      </c>
      <c r="BB46" s="77"/>
      <c r="BC46" s="63">
        <f>AX46/(AY46-1)</f>
        <v>9.5008560518157398E-2</v>
      </c>
      <c r="BD46" s="81">
        <f>LN(BC46)</f>
        <v>-2.3537882807238768</v>
      </c>
      <c r="BE46" s="63">
        <f>LN(AX46)</f>
        <v>-2.3537882807238768</v>
      </c>
      <c r="BF46" s="63">
        <f>LN(AY46-1)</f>
        <v>0</v>
      </c>
      <c r="BG46" s="63">
        <f>SQRT(2*AX46)</f>
        <v>0.43590953308721614</v>
      </c>
      <c r="BH46" s="63">
        <f>SQRT(2*AY46-3)</f>
        <v>1</v>
      </c>
      <c r="BI46" s="63">
        <f>2*(AY46-2)</f>
        <v>0</v>
      </c>
      <c r="BJ46" s="63">
        <f>3*(AY46-2)^2</f>
        <v>0</v>
      </c>
      <c r="BK46" s="63" t="e">
        <f>1/BI46</f>
        <v>#DIV/0!</v>
      </c>
      <c r="BL46" s="82" t="e">
        <f>1/BJ46</f>
        <v>#DIV/0!</v>
      </c>
      <c r="BM46" s="82" t="e">
        <f>SQRT(BK46*(1-BL46))</f>
        <v>#DIV/0!</v>
      </c>
      <c r="BN46" s="83">
        <f>0.5*(BE46-BF46)/(BG46-BH46)</f>
        <v>2.0863570816982135</v>
      </c>
      <c r="BO46" s="83" t="e">
        <f>IF(AA46&lt;=AB46,BM46,BN46)</f>
        <v>#DIV/0!</v>
      </c>
      <c r="BP46" s="70" t="e">
        <f>BD46-(1.96*BO46)</f>
        <v>#DIV/0!</v>
      </c>
      <c r="BQ46" s="70" t="e">
        <f>BD46+(1.96*BO46)</f>
        <v>#DIV/0!</v>
      </c>
      <c r="BR46" s="70"/>
      <c r="BS46" s="81" t="e">
        <f>EXP(BP46)</f>
        <v>#DIV/0!</v>
      </c>
      <c r="BT46" s="81" t="e">
        <f>EXP(BQ46)</f>
        <v>#DIV/0!</v>
      </c>
      <c r="BU46" s="84" t="str">
        <f>BA46</f>
        <v>0%</v>
      </c>
      <c r="BV46" s="84" t="e">
        <f>(BS46-1)/BS46</f>
        <v>#DIV/0!</v>
      </c>
      <c r="BW46" s="84" t="e">
        <f>(BT46-1)/BT46</f>
        <v>#DIV/0!</v>
      </c>
    </row>
    <row r="47" spans="1:256" ht="13.5" thickBot="1">
      <c r="A47" s="424"/>
      <c r="C47" s="545"/>
      <c r="D47" s="85"/>
      <c r="E47" s="85"/>
      <c r="F47" s="545"/>
      <c r="G47" s="85"/>
      <c r="H47" s="85"/>
      <c r="I47" s="86"/>
      <c r="R47" s="87"/>
      <c r="S47" s="87"/>
      <c r="T47" s="87"/>
      <c r="U47" s="87"/>
      <c r="V47" s="87"/>
      <c r="W47" s="87"/>
      <c r="X47" s="87"/>
      <c r="AB47" s="88"/>
      <c r="AC47" s="89"/>
      <c r="AD47" s="90"/>
      <c r="AE47" s="89"/>
      <c r="AF47" s="91"/>
      <c r="AG47" s="91"/>
      <c r="AH47" s="91"/>
      <c r="AI47" s="91"/>
      <c r="AT47" s="92"/>
      <c r="AU47" s="92"/>
      <c r="AV47" s="92"/>
      <c r="AX47" s="5" t="s">
        <v>56</v>
      </c>
      <c r="BG47" s="11"/>
      <c r="BN47" s="89" t="s">
        <v>57</v>
      </c>
      <c r="BT47" s="93" t="s">
        <v>58</v>
      </c>
      <c r="BU47" s="504" t="str">
        <f>BU46</f>
        <v>0%</v>
      </c>
      <c r="BV47" s="504" t="e">
        <f>IF(BV46&lt;0,"0%",BV46)</f>
        <v>#DIV/0!</v>
      </c>
      <c r="BW47" s="505" t="e">
        <f>IF(BW46&lt;0,"0%",BW46)</f>
        <v>#DIV/0!</v>
      </c>
    </row>
    <row r="48" spans="1:256" s="122" customFormat="1" ht="26.5" thickBot="1">
      <c r="A48" s="591"/>
      <c r="B48" s="570"/>
      <c r="C48" s="571"/>
      <c r="D48" s="571"/>
      <c r="E48" s="572"/>
      <c r="F48" s="571"/>
      <c r="G48" s="571"/>
      <c r="H48" s="571"/>
      <c r="I48" s="573"/>
      <c r="J48" s="570"/>
      <c r="K48" s="570"/>
      <c r="R48" s="592"/>
      <c r="S48" s="592"/>
      <c r="T48" s="592"/>
      <c r="U48" s="592"/>
      <c r="V48" s="592"/>
      <c r="W48" s="592"/>
      <c r="X48" s="592"/>
      <c r="AI48" s="593"/>
      <c r="AJ48" s="14"/>
      <c r="AK48" s="14"/>
      <c r="AL48" s="594"/>
      <c r="AM48" s="595"/>
      <c r="AO48" s="587" t="s">
        <v>59</v>
      </c>
      <c r="AP48" s="101" t="e">
        <f>TINV((1-$H$1),(AB46-2))</f>
        <v>#NUM!</v>
      </c>
      <c r="AR48" s="596" t="s">
        <v>60</v>
      </c>
      <c r="AS48" s="102">
        <f>$H$1</f>
        <v>0.95</v>
      </c>
      <c r="AT48" s="507" t="e">
        <f>EXP(AM46-AP48*SQRT((1/AD46)+AH46))</f>
        <v>#NUM!</v>
      </c>
      <c r="AU48" s="507" t="e">
        <f>EXP(AM46+AP48*SQRT((1/AD46)+AH46))</f>
        <v>#NUM!</v>
      </c>
      <c r="AV48" s="17"/>
      <c r="AX48" s="103">
        <f>_xlfn.CHISQ.DIST.RT(AX46,AY46-1)</f>
        <v>0.75790383631801528</v>
      </c>
      <c r="AY48" s="104" t="str">
        <f>IF(AX48&lt;0.05,"heterogeneidad","homogeneidad")</f>
        <v>homogeneidad</v>
      </c>
      <c r="BF48" s="597"/>
      <c r="BG48" s="593"/>
      <c r="BH48" s="593"/>
      <c r="BJ48" s="296"/>
      <c r="BL48" s="593"/>
      <c r="BM48" s="598"/>
      <c r="BQ48" s="593"/>
    </row>
    <row r="49" spans="1:86" ht="14.5">
      <c r="A49" s="424"/>
      <c r="B49" s="5"/>
      <c r="C49" s="94"/>
      <c r="D49" s="94"/>
      <c r="E49" s="94"/>
      <c r="F49" s="94"/>
      <c r="G49" s="94"/>
      <c r="H49" s="94"/>
      <c r="I49" s="95"/>
      <c r="J49" s="5"/>
      <c r="K49" s="5"/>
      <c r="R49" s="96"/>
      <c r="S49" s="96"/>
      <c r="T49" s="96"/>
      <c r="U49" s="96"/>
      <c r="V49" s="96"/>
      <c r="W49" s="96"/>
      <c r="X49" s="96"/>
      <c r="AF49" s="1"/>
      <c r="AI49" s="11"/>
      <c r="AJ49" s="97"/>
      <c r="AK49" s="97"/>
      <c r="AL49" s="98"/>
      <c r="AM49" s="99"/>
      <c r="AN49" s="107"/>
      <c r="AO49" s="108"/>
      <c r="AP49" s="14"/>
      <c r="AS49" s="109"/>
      <c r="AT49" s="17"/>
      <c r="AU49" s="17"/>
      <c r="AV49" s="17"/>
      <c r="BF49" s="105"/>
      <c r="BG49" s="11"/>
      <c r="BH49" s="11"/>
      <c r="BJ49" s="44"/>
      <c r="BL49" s="11"/>
      <c r="BM49" s="110"/>
      <c r="BQ49" s="11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</row>
    <row r="50" spans="1:86" ht="13" customHeight="1">
      <c r="A50" s="424"/>
      <c r="C50" s="85"/>
      <c r="D50" s="85"/>
      <c r="E50" s="85"/>
      <c r="F50" s="85"/>
      <c r="G50" s="85"/>
      <c r="H50" s="85"/>
      <c r="I50" s="86"/>
      <c r="J50" s="619" t="s">
        <v>4</v>
      </c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1"/>
      <c r="X50" s="12"/>
      <c r="Y50" s="619" t="s">
        <v>5</v>
      </c>
      <c r="Z50" s="620"/>
      <c r="AA50" s="620"/>
      <c r="AB50" s="620"/>
      <c r="AC50" s="620"/>
      <c r="AD50" s="620"/>
      <c r="AE50" s="620"/>
      <c r="AF50" s="620"/>
      <c r="AG50" s="620"/>
      <c r="AH50" s="620"/>
      <c r="AI50" s="620"/>
      <c r="AJ50" s="620"/>
      <c r="AK50" s="620"/>
      <c r="AL50" s="620"/>
      <c r="AM50" s="620"/>
      <c r="AN50" s="620"/>
      <c r="AO50" s="620"/>
      <c r="AP50" s="620"/>
      <c r="AQ50" s="620"/>
      <c r="AR50" s="620"/>
      <c r="AS50" s="620"/>
      <c r="AT50" s="620"/>
      <c r="AU50" s="621"/>
      <c r="AV50" s="12"/>
      <c r="AW50" s="619" t="s">
        <v>229</v>
      </c>
      <c r="AX50" s="620"/>
      <c r="AY50" s="620"/>
      <c r="AZ50" s="620"/>
      <c r="BA50" s="620"/>
      <c r="BB50" s="620"/>
      <c r="BC50" s="620"/>
      <c r="BD50" s="620"/>
      <c r="BE50" s="620"/>
      <c r="BF50" s="620"/>
      <c r="BG50" s="620"/>
      <c r="BH50" s="620"/>
      <c r="BI50" s="620"/>
      <c r="BJ50" s="620"/>
      <c r="BK50" s="620"/>
      <c r="BL50" s="620"/>
      <c r="BM50" s="620"/>
      <c r="BN50" s="620"/>
      <c r="BO50" s="620"/>
      <c r="BP50" s="620"/>
      <c r="BQ50" s="620"/>
      <c r="BR50" s="620"/>
      <c r="BS50" s="620"/>
      <c r="BT50" s="620"/>
      <c r="BU50" s="620"/>
      <c r="BV50" s="620"/>
      <c r="BW50" s="621"/>
    </row>
    <row r="51" spans="1:86">
      <c r="A51" s="554" t="s">
        <v>475</v>
      </c>
      <c r="B51" s="13" t="s">
        <v>6</v>
      </c>
      <c r="C51" s="618" t="s">
        <v>7</v>
      </c>
      <c r="D51" s="618"/>
      <c r="E51" s="618"/>
      <c r="F51" s="618" t="s">
        <v>8</v>
      </c>
      <c r="G51" s="618"/>
      <c r="H51" s="618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</row>
    <row r="52" spans="1:86" ht="60">
      <c r="A52" s="568" t="s">
        <v>373</v>
      </c>
      <c r="B52" s="559" t="s">
        <v>377</v>
      </c>
      <c r="C52" s="560" t="s">
        <v>9</v>
      </c>
      <c r="D52" s="560" t="s">
        <v>10</v>
      </c>
      <c r="E52" s="560" t="s">
        <v>11</v>
      </c>
      <c r="F52" s="560" t="s">
        <v>9</v>
      </c>
      <c r="G52" s="560" t="s">
        <v>10</v>
      </c>
      <c r="H52" s="560" t="s">
        <v>11</v>
      </c>
      <c r="I52" s="17"/>
      <c r="K52" s="18" t="s">
        <v>12</v>
      </c>
      <c r="L52" s="18" t="s">
        <v>13</v>
      </c>
      <c r="M52" s="18" t="s">
        <v>14</v>
      </c>
      <c r="N52" s="19" t="s">
        <v>15</v>
      </c>
      <c r="O52" s="19" t="s">
        <v>16</v>
      </c>
      <c r="P52" s="19" t="s">
        <v>17</v>
      </c>
      <c r="Q52" s="495" t="s">
        <v>18</v>
      </c>
      <c r="R52" s="495" t="s">
        <v>19</v>
      </c>
      <c r="S52" s="496" t="s">
        <v>3</v>
      </c>
      <c r="T52" s="495" t="s">
        <v>20</v>
      </c>
      <c r="U52" s="495" t="s">
        <v>21</v>
      </c>
      <c r="V52" s="495" t="s">
        <v>22</v>
      </c>
      <c r="W52" s="495" t="s">
        <v>22</v>
      </c>
      <c r="X52" s="20"/>
      <c r="Y52" s="21"/>
      <c r="Z52" s="22" t="s">
        <v>23</v>
      </c>
      <c r="AA52" s="19" t="s">
        <v>24</v>
      </c>
      <c r="AB52" s="3" t="s">
        <v>25</v>
      </c>
      <c r="AC52" s="3" t="s">
        <v>26</v>
      </c>
      <c r="AD52" s="3" t="s">
        <v>27</v>
      </c>
      <c r="AE52" s="19" t="s">
        <v>28</v>
      </c>
      <c r="AF52" s="19" t="s">
        <v>29</v>
      </c>
      <c r="AG52" s="23" t="s">
        <v>30</v>
      </c>
      <c r="AH52" s="23" t="s">
        <v>31</v>
      </c>
      <c r="AI52" s="3" t="s">
        <v>32</v>
      </c>
      <c r="AJ52" s="19" t="s">
        <v>33</v>
      </c>
      <c r="AK52" s="19" t="s">
        <v>34</v>
      </c>
      <c r="AL52" s="19" t="s">
        <v>35</v>
      </c>
      <c r="AM52" s="3" t="s">
        <v>36</v>
      </c>
      <c r="AN52" s="496" t="s">
        <v>37</v>
      </c>
      <c r="AO52" s="19" t="s">
        <v>38</v>
      </c>
      <c r="AP52" s="19" t="s">
        <v>39</v>
      </c>
      <c r="AQ52" s="3" t="s">
        <v>3</v>
      </c>
      <c r="AR52" s="19" t="s">
        <v>40</v>
      </c>
      <c r="AS52" s="19" t="s">
        <v>41</v>
      </c>
      <c r="AT52" s="495" t="s">
        <v>22</v>
      </c>
      <c r="AU52" s="495" t="s">
        <v>22</v>
      </c>
      <c r="AV52" s="20"/>
      <c r="AX52" s="24" t="s">
        <v>42</v>
      </c>
      <c r="AY52" s="24" t="s">
        <v>25</v>
      </c>
      <c r="AZ52" s="25" t="s">
        <v>61</v>
      </c>
      <c r="BA52" s="26" t="s">
        <v>62</v>
      </c>
      <c r="BC52" s="3" t="s">
        <v>63</v>
      </c>
      <c r="BD52" s="3" t="s">
        <v>64</v>
      </c>
      <c r="BE52" s="3" t="s">
        <v>43</v>
      </c>
      <c r="BF52" s="3" t="s">
        <v>44</v>
      </c>
      <c r="BG52" s="3" t="s">
        <v>45</v>
      </c>
      <c r="BH52" s="3" t="s">
        <v>46</v>
      </c>
      <c r="BI52" s="3" t="s">
        <v>47</v>
      </c>
      <c r="BJ52" s="3" t="s">
        <v>65</v>
      </c>
      <c r="BK52" s="3" t="s">
        <v>48</v>
      </c>
      <c r="BL52" s="3" t="s">
        <v>49</v>
      </c>
      <c r="BM52" s="27" t="s">
        <v>66</v>
      </c>
      <c r="BN52" s="27" t="s">
        <v>67</v>
      </c>
      <c r="BO52" s="27" t="s">
        <v>68</v>
      </c>
      <c r="BP52" s="27" t="s">
        <v>69</v>
      </c>
      <c r="BQ52" s="27" t="s">
        <v>70</v>
      </c>
      <c r="BR52" s="28"/>
      <c r="BS52" s="19" t="s">
        <v>71</v>
      </c>
      <c r="BT52" s="19" t="s">
        <v>72</v>
      </c>
      <c r="BU52" s="495" t="s">
        <v>226</v>
      </c>
      <c r="BV52" s="495" t="s">
        <v>227</v>
      </c>
      <c r="BW52" s="495" t="s">
        <v>228</v>
      </c>
    </row>
    <row r="53" spans="1:86">
      <c r="A53" s="424"/>
      <c r="B53" s="561" t="s">
        <v>231</v>
      </c>
      <c r="C53" s="562">
        <v>143</v>
      </c>
      <c r="D53" s="563">
        <f>E53-C53</f>
        <v>932</v>
      </c>
      <c r="E53" s="564">
        <v>1075</v>
      </c>
      <c r="F53" s="562">
        <v>178</v>
      </c>
      <c r="G53" s="563">
        <f>H53-F53</f>
        <v>886</v>
      </c>
      <c r="H53" s="564">
        <v>1064</v>
      </c>
      <c r="I53" s="33"/>
      <c r="K53" s="34">
        <f>(C53/E53)/(F53/H53)</f>
        <v>0.79515024823621638</v>
      </c>
      <c r="L53" s="35">
        <f>(D53/(C53*E53)+(G53/(F53*H53)))</f>
        <v>1.0740902338897195E-2</v>
      </c>
      <c r="M53" s="36">
        <f>1/L53</f>
        <v>93.102047523380932</v>
      </c>
      <c r="N53" s="37">
        <f>LN(K53)</f>
        <v>-0.22922419069235131</v>
      </c>
      <c r="O53" s="37">
        <f>M53*N53</f>
        <v>-21.341241495347823</v>
      </c>
      <c r="P53" s="37">
        <f>LN(K53)</f>
        <v>-0.22922419069235131</v>
      </c>
      <c r="Q53" s="38">
        <f>K53</f>
        <v>0.79515024823621638</v>
      </c>
      <c r="R53" s="39">
        <f>SQRT(1/M53)</f>
        <v>0.10363832466272888</v>
      </c>
      <c r="S53" s="320">
        <f>$H$2</f>
        <v>1.9599639845400536</v>
      </c>
      <c r="T53" s="41">
        <f>P53-(R53*S53)</f>
        <v>-0.43235157444936911</v>
      </c>
      <c r="U53" s="41">
        <f>P53+(R53*S53)</f>
        <v>-2.6096806935333505E-2</v>
      </c>
      <c r="V53" s="319">
        <f>EXP(T53)</f>
        <v>0.64898117137394296</v>
      </c>
      <c r="W53" s="319">
        <f>EXP(U53)</f>
        <v>0.97424077178012003</v>
      </c>
      <c r="X53" s="44"/>
      <c r="Z53" s="45">
        <f>(N53-P305)^2</f>
        <v>5.2543729598563439E-2</v>
      </c>
      <c r="AA53" s="46">
        <f>M53*Z53</f>
        <v>4.8919288101411302</v>
      </c>
      <c r="AB53" s="2">
        <v>1</v>
      </c>
      <c r="AC53" s="28"/>
      <c r="AD53" s="28"/>
      <c r="AE53" s="36">
        <f>M53^2</f>
        <v>8667.9912530458823</v>
      </c>
      <c r="AF53" s="47"/>
      <c r="AG53" s="48">
        <f>AG56</f>
        <v>3.1051279752816473E-2</v>
      </c>
      <c r="AH53" s="48">
        <f>AH56</f>
        <v>3.1051279752816473E-2</v>
      </c>
      <c r="AI53" s="46">
        <f>1/M53</f>
        <v>1.0740902338897195E-2</v>
      </c>
      <c r="AJ53" s="49">
        <f>1/(AH53+AI53)</f>
        <v>23.927920246075754</v>
      </c>
      <c r="AK53" s="50">
        <f>AJ53/AJ56</f>
        <v>0.35326708866510259</v>
      </c>
      <c r="AL53" s="51">
        <f>AJ53*N53</f>
        <v>-5.484858153357842</v>
      </c>
      <c r="AM53" s="51">
        <f>AL53/AJ53</f>
        <v>-0.22922419069235131</v>
      </c>
      <c r="AN53" s="319">
        <f>EXP(AM53)</f>
        <v>0.79515024823621638</v>
      </c>
      <c r="AO53" s="38">
        <f>1/AJ53</f>
        <v>4.1792182091713669E-2</v>
      </c>
      <c r="AP53" s="319">
        <f>SQRT(AO53)</f>
        <v>0.20443136278886775</v>
      </c>
      <c r="AQ53" s="320">
        <f>$H$2</f>
        <v>1.9599639845400536</v>
      </c>
      <c r="AR53" s="41">
        <f>AM53-(AQ53*AP53)</f>
        <v>-0.62990229906897377</v>
      </c>
      <c r="AS53" s="41">
        <f>AM53+(1.96*AP53)</f>
        <v>0.17146128037382949</v>
      </c>
      <c r="AT53" s="53">
        <f>EXP(AR53)</f>
        <v>0.53264383826371531</v>
      </c>
      <c r="AU53" s="53">
        <f>EXP(AS53)</f>
        <v>1.1870381801678807</v>
      </c>
      <c r="AV53" s="17"/>
      <c r="AX53" s="54"/>
      <c r="AY53" s="54">
        <v>1</v>
      </c>
      <c r="AZ53" s="55"/>
      <c r="BA53" s="55"/>
      <c r="BC53" s="28"/>
      <c r="BD53" s="28"/>
      <c r="BE53" s="2"/>
      <c r="BF53" s="2"/>
      <c r="BG53" s="2"/>
      <c r="BH53" s="2"/>
      <c r="BI53" s="2"/>
      <c r="BJ53" s="2"/>
      <c r="BK53" s="2"/>
      <c r="BL53" s="2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</row>
    <row r="54" spans="1:86">
      <c r="A54" s="424"/>
      <c r="B54" s="561" t="s">
        <v>296</v>
      </c>
      <c r="C54" s="562">
        <v>65</v>
      </c>
      <c r="D54" s="563">
        <f t="shared" ref="D54:D55" si="114">E54-C54</f>
        <v>543</v>
      </c>
      <c r="E54" s="564">
        <v>608</v>
      </c>
      <c r="F54" s="562">
        <v>76</v>
      </c>
      <c r="G54" s="563">
        <f t="shared" ref="G54:G55" si="115">H54-F54</f>
        <v>538</v>
      </c>
      <c r="H54" s="564">
        <v>614</v>
      </c>
      <c r="I54" s="33"/>
      <c r="K54" s="34">
        <f t="shared" ref="K54:K55" si="116">(C54/E54)/(F54/H54)</f>
        <v>0.86370325484764543</v>
      </c>
      <c r="L54" s="35">
        <f t="shared" ref="L54:L55" si="117">(D54/(C54*E54)+(G54/(F54*H54)))</f>
        <v>2.5269108784238221E-2</v>
      </c>
      <c r="M54" s="36">
        <f t="shared" ref="M54:M55" si="118">1/L54</f>
        <v>39.574011435803257</v>
      </c>
      <c r="N54" s="37">
        <f t="shared" ref="N54:N55" si="119">LN(K54)</f>
        <v>-0.14652602420971853</v>
      </c>
      <c r="O54" s="37">
        <f t="shared" ref="O54:O55" si="120">M54*N54</f>
        <v>-5.7986225577181862</v>
      </c>
      <c r="P54" s="37">
        <f t="shared" ref="P54:P55" si="121">LN(K54)</f>
        <v>-0.14652602420971853</v>
      </c>
      <c r="Q54" s="38">
        <f t="shared" ref="Q54:Q55" si="122">K54</f>
        <v>0.86370325484764543</v>
      </c>
      <c r="R54" s="39">
        <f t="shared" ref="R54:R55" si="123">SQRT(1/M54)</f>
        <v>0.15896260184155966</v>
      </c>
      <c r="S54" s="320">
        <f t="shared" ref="S54:S56" si="124">$H$2</f>
        <v>1.9599639845400536</v>
      </c>
      <c r="T54" s="41">
        <f t="shared" ref="T54:T55" si="125">P54-(R54*S54)</f>
        <v>-0.45808699870795588</v>
      </c>
      <c r="U54" s="41">
        <f t="shared" ref="U54:U55" si="126">P54+(R54*S54)</f>
        <v>0.16503495028851881</v>
      </c>
      <c r="V54" s="319">
        <f t="shared" ref="V54:W55" si="127">EXP(T54)</f>
        <v>0.632492447787948</v>
      </c>
      <c r="W54" s="319">
        <f t="shared" si="127"/>
        <v>1.1794343395615028</v>
      </c>
      <c r="X54" s="44"/>
      <c r="Z54" s="45">
        <f>(N54-P56)^2</f>
        <v>4.2669718762356834E-3</v>
      </c>
      <c r="AA54" s="46">
        <f t="shared" ref="AA54:AA55" si="128">M54*Z54</f>
        <v>0.16886119382640183</v>
      </c>
      <c r="AB54" s="2">
        <v>1</v>
      </c>
      <c r="AC54" s="28"/>
      <c r="AD54" s="28"/>
      <c r="AE54" s="36">
        <f t="shared" ref="AE54:AE55" si="129">M54^2</f>
        <v>1566.1023811210869</v>
      </c>
      <c r="AF54" s="47"/>
      <c r="AG54" s="48">
        <f>AG56</f>
        <v>3.1051279752816473E-2</v>
      </c>
      <c r="AH54" s="48">
        <f>AH56</f>
        <v>3.1051279752816473E-2</v>
      </c>
      <c r="AI54" s="46">
        <f t="shared" ref="AI54:AI55" si="130">1/M54</f>
        <v>2.5269108784238225E-2</v>
      </c>
      <c r="AJ54" s="49">
        <f t="shared" ref="AJ54:AJ55" si="131">1/(AH54+AI54)</f>
        <v>17.755559327188823</v>
      </c>
      <c r="AK54" s="50">
        <f>AJ54/AJ56</f>
        <v>0.2621395711215313</v>
      </c>
      <c r="AL54" s="51">
        <f t="shared" ref="AL54:AL55" si="132">AJ54*N54</f>
        <v>-2.6016515158327631</v>
      </c>
      <c r="AM54" s="51">
        <f t="shared" ref="AM54:AM55" si="133">AL54/AJ54</f>
        <v>-0.14652602420971853</v>
      </c>
      <c r="AN54" s="319">
        <f t="shared" ref="AN54:AN55" si="134">EXP(AM54)</f>
        <v>0.86370325484764543</v>
      </c>
      <c r="AO54" s="38">
        <f t="shared" ref="AO54:AO55" si="135">1/AJ54</f>
        <v>5.6320388537054698E-2</v>
      </c>
      <c r="AP54" s="319">
        <f t="shared" ref="AP54:AP55" si="136">SQRT(AO54)</f>
        <v>0.23731917018448953</v>
      </c>
      <c r="AQ54" s="320">
        <f t="shared" ref="AQ54:AQ56" si="137">$H$2</f>
        <v>1.9599639845400536</v>
      </c>
      <c r="AR54" s="41">
        <f t="shared" ref="AR54:AR55" si="138">AM54-(AQ54*AP54)</f>
        <v>-0.61166305061224968</v>
      </c>
      <c r="AS54" s="41">
        <f t="shared" ref="AS54:AS55" si="139">AM54+(1.96*AP54)</f>
        <v>0.31861954935188097</v>
      </c>
      <c r="AT54" s="53">
        <f t="shared" ref="AT54:AU55" si="140">EXP(AR54)</f>
        <v>0.54244800004555627</v>
      </c>
      <c r="AU54" s="53">
        <f t="shared" si="140"/>
        <v>1.3752280189751807</v>
      </c>
      <c r="AV54" s="17"/>
      <c r="AX54" s="54"/>
      <c r="AY54" s="54">
        <v>1</v>
      </c>
      <c r="AZ54" s="55"/>
      <c r="BA54" s="55"/>
      <c r="BC54" s="28"/>
      <c r="BD54" s="28"/>
      <c r="BE54" s="2"/>
      <c r="BF54" s="2"/>
      <c r="BG54" s="2"/>
      <c r="BH54" s="2"/>
      <c r="BI54" s="2"/>
      <c r="BJ54" s="2"/>
      <c r="BK54" s="2"/>
      <c r="BL54" s="2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</row>
    <row r="55" spans="1:86">
      <c r="A55" s="549" t="s">
        <v>297</v>
      </c>
      <c r="B55" s="561" t="s">
        <v>370</v>
      </c>
      <c r="C55" s="562">
        <v>234</v>
      </c>
      <c r="D55" s="563">
        <f t="shared" si="114"/>
        <v>1232</v>
      </c>
      <c r="E55" s="564">
        <v>1466</v>
      </c>
      <c r="F55" s="562">
        <v>226</v>
      </c>
      <c r="G55" s="563">
        <f t="shared" si="115"/>
        <v>1246</v>
      </c>
      <c r="H55" s="564">
        <v>1472</v>
      </c>
      <c r="I55" s="33"/>
      <c r="K55" s="34">
        <f t="shared" si="116"/>
        <v>1.0396358763235098</v>
      </c>
      <c r="L55" s="35">
        <f t="shared" si="117"/>
        <v>7.3368069683701232E-3</v>
      </c>
      <c r="M55" s="36">
        <f t="shared" si="118"/>
        <v>136.29907455806361</v>
      </c>
      <c r="N55" s="37">
        <f t="shared" si="119"/>
        <v>3.8870532927640263E-2</v>
      </c>
      <c r="O55" s="37">
        <f t="shared" si="120"/>
        <v>5.2980176656161069</v>
      </c>
      <c r="P55" s="37">
        <f t="shared" si="121"/>
        <v>3.8870532927640263E-2</v>
      </c>
      <c r="Q55" s="38">
        <f t="shared" si="122"/>
        <v>1.0396358763235098</v>
      </c>
      <c r="R55" s="39">
        <f t="shared" si="123"/>
        <v>8.565516311565885E-2</v>
      </c>
      <c r="S55" s="320">
        <f t="shared" si="124"/>
        <v>1.9599639845400536</v>
      </c>
      <c r="T55" s="41">
        <f t="shared" si="125"/>
        <v>-0.12901050186895469</v>
      </c>
      <c r="U55" s="41">
        <f t="shared" si="126"/>
        <v>0.2067515677242352</v>
      </c>
      <c r="V55" s="319">
        <f t="shared" si="127"/>
        <v>0.87896473472465297</v>
      </c>
      <c r="W55" s="319">
        <f t="shared" si="127"/>
        <v>1.2296770423645498</v>
      </c>
      <c r="X55" s="44"/>
      <c r="Z55" s="45">
        <f>(N55-P56)^2</f>
        <v>1.4417884212819415E-2</v>
      </c>
      <c r="AA55" s="46">
        <f t="shared" si="128"/>
        <v>1.9651442752926018</v>
      </c>
      <c r="AB55" s="2">
        <v>1</v>
      </c>
      <c r="AC55" s="28"/>
      <c r="AD55" s="28"/>
      <c r="AE55" s="36">
        <f t="shared" si="129"/>
        <v>18577.437725384581</v>
      </c>
      <c r="AF55" s="47"/>
      <c r="AG55" s="48">
        <f>AG56</f>
        <v>3.1051279752816473E-2</v>
      </c>
      <c r="AH55" s="48">
        <f>AH56</f>
        <v>3.1051279752816473E-2</v>
      </c>
      <c r="AI55" s="46">
        <f t="shared" si="130"/>
        <v>7.3368069683701232E-3</v>
      </c>
      <c r="AJ55" s="49">
        <f t="shared" si="131"/>
        <v>26.049748383216361</v>
      </c>
      <c r="AK55" s="50">
        <f>AJ55/AJ56</f>
        <v>0.38459334021336627</v>
      </c>
      <c r="AL55" s="51">
        <f t="shared" si="132"/>
        <v>1.0125676022865553</v>
      </c>
      <c r="AM55" s="51">
        <f t="shared" si="133"/>
        <v>3.8870532927640263E-2</v>
      </c>
      <c r="AN55" s="319">
        <f t="shared" si="134"/>
        <v>1.0396358763235098</v>
      </c>
      <c r="AO55" s="38">
        <f t="shared" si="135"/>
        <v>3.8388086721186598E-2</v>
      </c>
      <c r="AP55" s="319">
        <f t="shared" si="136"/>
        <v>0.19592877971647402</v>
      </c>
      <c r="AQ55" s="320">
        <f t="shared" si="137"/>
        <v>1.9599639845400536</v>
      </c>
      <c r="AR55" s="41">
        <f t="shared" si="138"/>
        <v>-0.34514281885153059</v>
      </c>
      <c r="AS55" s="41">
        <f t="shared" si="139"/>
        <v>0.42289094117192932</v>
      </c>
      <c r="AT55" s="53">
        <f t="shared" si="140"/>
        <v>0.70811921347280804</v>
      </c>
      <c r="AU55" s="53">
        <f t="shared" si="140"/>
        <v>1.5263678230029671</v>
      </c>
      <c r="AV55" s="17"/>
      <c r="AX55" s="54"/>
      <c r="AY55" s="54">
        <v>1</v>
      </c>
      <c r="AZ55" s="55"/>
      <c r="BA55" s="55"/>
      <c r="BC55" s="28"/>
      <c r="BD55" s="28"/>
      <c r="BE55" s="2"/>
      <c r="BF55" s="2"/>
      <c r="BG55" s="2"/>
      <c r="BH55" s="2"/>
      <c r="BI55" s="2"/>
      <c r="BJ55" s="2"/>
      <c r="BK55" s="2"/>
      <c r="BL55" s="2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</row>
    <row r="56" spans="1:86">
      <c r="A56" s="424"/>
      <c r="B56" s="56">
        <f>COUNT(D53:D55)</f>
        <v>3</v>
      </c>
      <c r="C56" s="57">
        <f>SUM(C53:C55)</f>
        <v>442</v>
      </c>
      <c r="D56" s="57">
        <f>SUM(D53:D55)</f>
        <v>2707</v>
      </c>
      <c r="E56" s="57">
        <f>SUM(E53:E55)</f>
        <v>3149</v>
      </c>
      <c r="F56" s="57">
        <f>SUM(F53:F55)</f>
        <v>480</v>
      </c>
      <c r="G56" s="57">
        <f>SUM(G53:G55)</f>
        <v>2670</v>
      </c>
      <c r="H56" s="57">
        <f>SUM(H53:H55)</f>
        <v>3150</v>
      </c>
      <c r="I56" s="58"/>
      <c r="K56" s="59"/>
      <c r="L56" s="113"/>
      <c r="M56" s="61">
        <f>SUM(M53:M55)</f>
        <v>268.9751335172478</v>
      </c>
      <c r="N56" s="62"/>
      <c r="O56" s="63">
        <f>SUM(O53:O55)</f>
        <v>-21.841846387449902</v>
      </c>
      <c r="P56" s="64">
        <f>O56/M56</f>
        <v>-8.1203961503189703E-2</v>
      </c>
      <c r="Q56" s="497">
        <f>EXP(P56)</f>
        <v>0.92200561861352959</v>
      </c>
      <c r="R56" s="497">
        <f>SQRT(1/M56)</f>
        <v>6.097389437741197E-2</v>
      </c>
      <c r="S56" s="520">
        <f t="shared" si="124"/>
        <v>1.9599639845400536</v>
      </c>
      <c r="T56" s="499">
        <f>P56-(R56*S56)</f>
        <v>-0.20071059848006645</v>
      </c>
      <c r="U56" s="499">
        <f>P56+(R56*S56)</f>
        <v>3.8302675473687028E-2</v>
      </c>
      <c r="V56" s="497">
        <f>EXP(T56)</f>
        <v>0.81814917090943595</v>
      </c>
      <c r="W56" s="497">
        <f>EXP(U56)</f>
        <v>1.0390456789315963</v>
      </c>
      <c r="X56" s="66"/>
      <c r="Y56" s="66"/>
      <c r="Z56" s="67"/>
      <c r="AA56" s="68">
        <f>SUM(AA53:AA55)</f>
        <v>7.0259342792601336</v>
      </c>
      <c r="AB56" s="69">
        <f>SUM(AB53:AB55)</f>
        <v>3</v>
      </c>
      <c r="AC56" s="70">
        <f>AA56-(AB56-1)</f>
        <v>5.0259342792601336</v>
      </c>
      <c r="AD56" s="61">
        <f>M56</f>
        <v>268.9751335172478</v>
      </c>
      <c r="AE56" s="61">
        <f>SUM(AE53:AE55)</f>
        <v>28811.531359551551</v>
      </c>
      <c r="AF56" s="71">
        <f>AE56/AD56</f>
        <v>107.11596638246128</v>
      </c>
      <c r="AG56" s="72">
        <f>AC56/(AD56-AF56)</f>
        <v>3.1051279752816473E-2</v>
      </c>
      <c r="AH56" s="72">
        <f>IF(AA56&lt;AB56-1,"0",AG56)</f>
        <v>3.1051279752816473E-2</v>
      </c>
      <c r="AI56" s="67"/>
      <c r="AJ56" s="61">
        <f>SUM(AJ53:AJ55)</f>
        <v>67.733227956480931</v>
      </c>
      <c r="AK56" s="73">
        <f>SUM(AK53:AK55)</f>
        <v>1.0000000000000002</v>
      </c>
      <c r="AL56" s="70">
        <f>SUM(AL53:AL55)</f>
        <v>-7.0739420669040491</v>
      </c>
      <c r="AM56" s="70">
        <f>AL56/AJ56</f>
        <v>-0.10443828354746515</v>
      </c>
      <c r="AN56" s="497">
        <f>EXP(AM56)</f>
        <v>0.90083039174743706</v>
      </c>
      <c r="AO56" s="64">
        <f>1/AJ56</f>
        <v>1.4763802496501523E-2</v>
      </c>
      <c r="AP56" s="63">
        <f>SQRT(AO56)</f>
        <v>0.12150638870652655</v>
      </c>
      <c r="AQ56" s="320">
        <f t="shared" si="137"/>
        <v>1.9599639845400536</v>
      </c>
      <c r="AR56" s="65">
        <f>AM56-(AQ56*AP56)</f>
        <v>-0.34258642930378147</v>
      </c>
      <c r="AS56" s="65">
        <f>AM56+(1.96*AP56)</f>
        <v>0.1337142383173269</v>
      </c>
      <c r="AT56" s="519">
        <f>EXP(AR56)</f>
        <v>0.70993175782630968</v>
      </c>
      <c r="AU56" s="519">
        <f>EXP(AS56)</f>
        <v>1.1430661284686821</v>
      </c>
      <c r="AV56" s="76"/>
      <c r="AW56" s="77"/>
      <c r="AX56" s="78">
        <f>AA56</f>
        <v>7.0259342792601336</v>
      </c>
      <c r="AY56" s="56">
        <f>SUM(AY53:AY55)</f>
        <v>3</v>
      </c>
      <c r="AZ56" s="79">
        <f>(AX56-(AY56-1))/AX56</f>
        <v>0.7153403489833654</v>
      </c>
      <c r="BA56" s="80">
        <f>IF(AA56&lt;AB56-1,"0%",AZ56)</f>
        <v>0.7153403489833654</v>
      </c>
      <c r="BB56" s="77"/>
      <c r="BC56" s="63">
        <f>AX56/(AY56-1)</f>
        <v>3.5129671396300668</v>
      </c>
      <c r="BD56" s="81">
        <f>LN(BC56)</f>
        <v>1.2564610193060011</v>
      </c>
      <c r="BE56" s="63">
        <f>LN(AX56)</f>
        <v>1.9496081998659465</v>
      </c>
      <c r="BF56" s="63">
        <f>LN(AY56-1)</f>
        <v>0.69314718055994529</v>
      </c>
      <c r="BG56" s="63">
        <f>SQRT(2*AX56)</f>
        <v>3.7485822064508958</v>
      </c>
      <c r="BH56" s="63">
        <f>SQRT(2*AY56-3)</f>
        <v>1.7320508075688772</v>
      </c>
      <c r="BI56" s="63">
        <f>2*(AY56-2)</f>
        <v>2</v>
      </c>
      <c r="BJ56" s="63">
        <f>3*(AY56-2)^2</f>
        <v>3</v>
      </c>
      <c r="BK56" s="63">
        <f>1/BI56</f>
        <v>0.5</v>
      </c>
      <c r="BL56" s="82">
        <f>1/BJ56</f>
        <v>0.33333333333333331</v>
      </c>
      <c r="BM56" s="82">
        <f>SQRT(BK56*(1-BL56))</f>
        <v>0.57735026918962584</v>
      </c>
      <c r="BN56" s="83">
        <f>0.5*(BE56-BF56)/(BG56-BH56)</f>
        <v>0.31154015752063002</v>
      </c>
      <c r="BO56" s="83">
        <f>IF(AA56&lt;=AB56,BM56,BN56)</f>
        <v>0.31154015752063002</v>
      </c>
      <c r="BP56" s="70">
        <f>BD56-(1.96*BO56)</f>
        <v>0.64584231056556618</v>
      </c>
      <c r="BQ56" s="70">
        <f>BD56+(1.96*BO56)</f>
        <v>1.867079728046436</v>
      </c>
      <c r="BR56" s="70"/>
      <c r="BS56" s="81">
        <f>EXP(BP56)</f>
        <v>1.9075931386109839</v>
      </c>
      <c r="BT56" s="81">
        <f>EXP(BQ56)</f>
        <v>6.4693764484321434</v>
      </c>
      <c r="BU56" s="84">
        <f>BA56</f>
        <v>0.7153403489833654</v>
      </c>
      <c r="BV56" s="84">
        <f>(BS56-1)/BS56</f>
        <v>0.47577920062757662</v>
      </c>
      <c r="BW56" s="84">
        <f>(BT56-1)/BT56</f>
        <v>0.84542559735531386</v>
      </c>
    </row>
    <row r="57" spans="1:86" ht="13.5" thickBot="1">
      <c r="A57" s="424"/>
      <c r="C57" s="545"/>
      <c r="D57" s="85"/>
      <c r="E57" s="85"/>
      <c r="F57" s="545"/>
      <c r="G57" s="85"/>
      <c r="H57" s="85"/>
      <c r="I57" s="86"/>
      <c r="R57" s="87"/>
      <c r="S57" s="87"/>
      <c r="T57" s="87"/>
      <c r="U57" s="87"/>
      <c r="V57" s="87"/>
      <c r="W57" s="87"/>
      <c r="X57" s="87"/>
      <c r="AB57" s="88"/>
      <c r="AC57" s="89"/>
      <c r="AD57" s="90"/>
      <c r="AE57" s="89"/>
      <c r="AF57" s="91"/>
      <c r="AG57" s="91"/>
      <c r="AH57" s="91"/>
      <c r="AI57" s="91"/>
      <c r="AT57" s="92"/>
      <c r="AU57" s="92"/>
      <c r="AV57" s="92"/>
      <c r="AX57" s="5" t="s">
        <v>56</v>
      </c>
      <c r="BG57" s="11"/>
      <c r="BN57" s="89" t="s">
        <v>57</v>
      </c>
      <c r="BT57" s="93" t="s">
        <v>58</v>
      </c>
      <c r="BU57" s="504">
        <f>BU56</f>
        <v>0.7153403489833654</v>
      </c>
      <c r="BV57" s="504">
        <f>IF(BV56&lt;0,"0%",BV56)</f>
        <v>0.47577920062757662</v>
      </c>
      <c r="BW57" s="505">
        <f>IF(BW56&lt;0,"0%",BW56)</f>
        <v>0.84542559735531386</v>
      </c>
    </row>
    <row r="58" spans="1:86" s="15" customFormat="1" ht="26.5" thickBot="1">
      <c r="A58" s="569"/>
      <c r="B58" s="570"/>
      <c r="C58" s="571"/>
      <c r="D58" s="571"/>
      <c r="E58" s="572"/>
      <c r="F58" s="571"/>
      <c r="G58" s="571"/>
      <c r="H58" s="571"/>
      <c r="I58" s="573"/>
      <c r="J58" s="570"/>
      <c r="K58" s="570"/>
      <c r="R58" s="574"/>
      <c r="S58" s="574"/>
      <c r="T58" s="574"/>
      <c r="U58" s="574"/>
      <c r="V58" s="574"/>
      <c r="W58" s="574"/>
      <c r="X58" s="574"/>
      <c r="AI58" s="575"/>
      <c r="AJ58" s="576"/>
      <c r="AK58" s="576"/>
      <c r="AL58" s="577"/>
      <c r="AM58" s="578"/>
      <c r="AO58" s="100" t="s">
        <v>59</v>
      </c>
      <c r="AP58" s="101">
        <f>TINV((1-$H$1),(AB56-2))</f>
        <v>12.706204736174694</v>
      </c>
      <c r="AR58" s="579" t="s">
        <v>60</v>
      </c>
      <c r="AS58" s="102">
        <f>$H$1</f>
        <v>0.95</v>
      </c>
      <c r="AT58" s="507">
        <f>EXP(AM56-AP58*SQRT((1/AD56)+AH56))</f>
        <v>8.4272699186428546E-2</v>
      </c>
      <c r="AU58" s="507">
        <f>EXP(AM56+AP58*SQRT((1/AD56)+AH56))</f>
        <v>9.6293983998381982</v>
      </c>
      <c r="AV58" s="17"/>
      <c r="AX58" s="103">
        <f>_xlfn.CHISQ.DIST.RT(AX56,AY56-1)</f>
        <v>2.9808337592202198E-2</v>
      </c>
      <c r="AY58" s="104" t="str">
        <f>IF(AX58&lt;0.05,"heterogeneidad","homogeneidad")</f>
        <v>heterogeneidad</v>
      </c>
      <c r="BF58" s="580"/>
      <c r="BG58" s="575"/>
      <c r="BH58" s="575"/>
      <c r="BJ58" s="581"/>
      <c r="BL58" s="575"/>
      <c r="BM58" s="582"/>
      <c r="BQ58" s="575"/>
    </row>
    <row r="59" spans="1:86" ht="14.5">
      <c r="A59" s="424"/>
      <c r="B59" s="5"/>
      <c r="C59" s="94"/>
      <c r="D59" s="94"/>
      <c r="E59" s="85"/>
      <c r="F59" s="94"/>
      <c r="G59" s="94"/>
      <c r="H59" s="94"/>
      <c r="I59" s="95"/>
      <c r="J59" s="5"/>
      <c r="K59" s="5"/>
      <c r="R59" s="96"/>
      <c r="S59" s="96"/>
      <c r="T59" s="96"/>
      <c r="U59" s="96"/>
      <c r="V59" s="96"/>
      <c r="W59" s="96"/>
      <c r="X59" s="96"/>
      <c r="AF59" s="1"/>
      <c r="AI59" s="11"/>
      <c r="AJ59" s="97"/>
      <c r="AK59" s="97"/>
      <c r="AL59" s="98"/>
      <c r="AM59" s="99"/>
      <c r="AN59" s="107"/>
      <c r="AO59" s="108"/>
      <c r="AP59" s="14"/>
      <c r="AS59" s="109"/>
      <c r="AT59" s="17"/>
      <c r="AU59" s="17"/>
      <c r="AV59" s="17"/>
      <c r="BF59" s="105"/>
      <c r="BG59" s="11"/>
      <c r="BH59" s="11"/>
      <c r="BJ59" s="44"/>
      <c r="BL59" s="11"/>
      <c r="BM59" s="110"/>
      <c r="BQ59" s="11"/>
    </row>
    <row r="60" spans="1:86" ht="13" customHeight="1">
      <c r="A60" s="424"/>
      <c r="C60" s="85"/>
      <c r="D60" s="85"/>
      <c r="E60" s="85"/>
      <c r="F60" s="85"/>
      <c r="G60" s="85"/>
      <c r="H60" s="85"/>
      <c r="I60" s="86"/>
      <c r="J60" s="619" t="s">
        <v>4</v>
      </c>
      <c r="K60" s="620"/>
      <c r="L60" s="620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1"/>
      <c r="X60" s="12"/>
      <c r="Y60" s="619" t="s">
        <v>5</v>
      </c>
      <c r="Z60" s="620"/>
      <c r="AA60" s="620"/>
      <c r="AB60" s="620"/>
      <c r="AC60" s="620"/>
      <c r="AD60" s="620"/>
      <c r="AE60" s="620"/>
      <c r="AF60" s="620"/>
      <c r="AG60" s="620"/>
      <c r="AH60" s="620"/>
      <c r="AI60" s="620"/>
      <c r="AJ60" s="620"/>
      <c r="AK60" s="620"/>
      <c r="AL60" s="620"/>
      <c r="AM60" s="620"/>
      <c r="AN60" s="620"/>
      <c r="AO60" s="620"/>
      <c r="AP60" s="620"/>
      <c r="AQ60" s="620"/>
      <c r="AR60" s="620"/>
      <c r="AS60" s="620"/>
      <c r="AT60" s="620"/>
      <c r="AU60" s="621"/>
      <c r="AV60" s="12"/>
      <c r="AW60" s="619" t="s">
        <v>229</v>
      </c>
      <c r="AX60" s="620"/>
      <c r="AY60" s="620"/>
      <c r="AZ60" s="620"/>
      <c r="BA60" s="620"/>
      <c r="BB60" s="620"/>
      <c r="BC60" s="620"/>
      <c r="BD60" s="620"/>
      <c r="BE60" s="620"/>
      <c r="BF60" s="620"/>
      <c r="BG60" s="620"/>
      <c r="BH60" s="620"/>
      <c r="BI60" s="620"/>
      <c r="BJ60" s="620"/>
      <c r="BK60" s="620"/>
      <c r="BL60" s="620"/>
      <c r="BM60" s="620"/>
      <c r="BN60" s="620"/>
      <c r="BO60" s="620"/>
      <c r="BP60" s="620"/>
      <c r="BQ60" s="620"/>
      <c r="BR60" s="620"/>
      <c r="BS60" s="620"/>
      <c r="BT60" s="620"/>
      <c r="BU60" s="620"/>
      <c r="BV60" s="620"/>
      <c r="BW60" s="621"/>
    </row>
    <row r="61" spans="1:86">
      <c r="A61" s="567" t="s">
        <v>476</v>
      </c>
      <c r="B61" s="13" t="s">
        <v>6</v>
      </c>
      <c r="C61" s="618" t="s">
        <v>7</v>
      </c>
      <c r="D61" s="618"/>
      <c r="E61" s="618"/>
      <c r="F61" s="618" t="s">
        <v>8</v>
      </c>
      <c r="G61" s="618"/>
      <c r="H61" s="618"/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</row>
    <row r="62" spans="1:86" ht="60">
      <c r="A62" s="568" t="s">
        <v>372</v>
      </c>
      <c r="B62" s="559" t="s">
        <v>378</v>
      </c>
      <c r="C62" s="560" t="s">
        <v>9</v>
      </c>
      <c r="D62" s="560" t="s">
        <v>10</v>
      </c>
      <c r="E62" s="560" t="s">
        <v>11</v>
      </c>
      <c r="F62" s="560" t="s">
        <v>9</v>
      </c>
      <c r="G62" s="560" t="s">
        <v>10</v>
      </c>
      <c r="H62" s="560" t="s">
        <v>11</v>
      </c>
      <c r="I62" s="17"/>
      <c r="K62" s="18" t="s">
        <v>12</v>
      </c>
      <c r="L62" s="18" t="s">
        <v>13</v>
      </c>
      <c r="M62" s="18" t="s">
        <v>14</v>
      </c>
      <c r="N62" s="19" t="s">
        <v>15</v>
      </c>
      <c r="O62" s="19" t="s">
        <v>16</v>
      </c>
      <c r="P62" s="19" t="s">
        <v>17</v>
      </c>
      <c r="Q62" s="495" t="s">
        <v>18</v>
      </c>
      <c r="R62" s="495" t="s">
        <v>19</v>
      </c>
      <c r="S62" s="496" t="s">
        <v>3</v>
      </c>
      <c r="T62" s="495" t="s">
        <v>20</v>
      </c>
      <c r="U62" s="495" t="s">
        <v>21</v>
      </c>
      <c r="V62" s="495" t="s">
        <v>22</v>
      </c>
      <c r="W62" s="495" t="s">
        <v>22</v>
      </c>
      <c r="X62" s="20"/>
      <c r="Y62" s="21"/>
      <c r="Z62" s="22" t="s">
        <v>23</v>
      </c>
      <c r="AA62" s="19" t="s">
        <v>24</v>
      </c>
      <c r="AB62" s="3" t="s">
        <v>25</v>
      </c>
      <c r="AC62" s="3" t="s">
        <v>26</v>
      </c>
      <c r="AD62" s="3" t="s">
        <v>27</v>
      </c>
      <c r="AE62" s="19" t="s">
        <v>28</v>
      </c>
      <c r="AF62" s="19" t="s">
        <v>29</v>
      </c>
      <c r="AG62" s="23" t="s">
        <v>30</v>
      </c>
      <c r="AH62" s="23" t="s">
        <v>31</v>
      </c>
      <c r="AI62" s="3" t="s">
        <v>32</v>
      </c>
      <c r="AJ62" s="19" t="s">
        <v>33</v>
      </c>
      <c r="AK62" s="19" t="s">
        <v>34</v>
      </c>
      <c r="AL62" s="19" t="s">
        <v>35</v>
      </c>
      <c r="AM62" s="3" t="s">
        <v>36</v>
      </c>
      <c r="AN62" s="496" t="s">
        <v>37</v>
      </c>
      <c r="AO62" s="19" t="s">
        <v>38</v>
      </c>
      <c r="AP62" s="19" t="s">
        <v>39</v>
      </c>
      <c r="AQ62" s="3" t="s">
        <v>3</v>
      </c>
      <c r="AR62" s="19" t="s">
        <v>40</v>
      </c>
      <c r="AS62" s="19" t="s">
        <v>41</v>
      </c>
      <c r="AT62" s="495" t="s">
        <v>22</v>
      </c>
      <c r="AU62" s="495" t="s">
        <v>22</v>
      </c>
      <c r="AV62" s="20"/>
      <c r="AX62" s="24" t="s">
        <v>42</v>
      </c>
      <c r="AY62" s="24" t="s">
        <v>25</v>
      </c>
      <c r="AZ62" s="25" t="s">
        <v>61</v>
      </c>
      <c r="BA62" s="26" t="s">
        <v>62</v>
      </c>
      <c r="BC62" s="3" t="s">
        <v>63</v>
      </c>
      <c r="BD62" s="3" t="s">
        <v>64</v>
      </c>
      <c r="BE62" s="3" t="s">
        <v>43</v>
      </c>
      <c r="BF62" s="3" t="s">
        <v>44</v>
      </c>
      <c r="BG62" s="3" t="s">
        <v>45</v>
      </c>
      <c r="BH62" s="3" t="s">
        <v>46</v>
      </c>
      <c r="BI62" s="3" t="s">
        <v>47</v>
      </c>
      <c r="BJ62" s="3" t="s">
        <v>65</v>
      </c>
      <c r="BK62" s="3" t="s">
        <v>48</v>
      </c>
      <c r="BL62" s="3" t="s">
        <v>49</v>
      </c>
      <c r="BM62" s="27" t="s">
        <v>66</v>
      </c>
      <c r="BN62" s="27" t="s">
        <v>67</v>
      </c>
      <c r="BO62" s="27" t="s">
        <v>68</v>
      </c>
      <c r="BP62" s="27" t="s">
        <v>69</v>
      </c>
      <c r="BQ62" s="27" t="s">
        <v>70</v>
      </c>
      <c r="BR62" s="28"/>
      <c r="BS62" s="19" t="s">
        <v>71</v>
      </c>
      <c r="BT62" s="19" t="s">
        <v>72</v>
      </c>
      <c r="BU62" s="495" t="s">
        <v>226</v>
      </c>
      <c r="BV62" s="495" t="s">
        <v>227</v>
      </c>
      <c r="BW62" s="495" t="s">
        <v>228</v>
      </c>
    </row>
    <row r="63" spans="1:86">
      <c r="A63" s="424"/>
      <c r="B63" s="561" t="s">
        <v>231</v>
      </c>
      <c r="C63" s="562">
        <v>106</v>
      </c>
      <c r="D63" s="563">
        <f>E63-C63</f>
        <v>1192</v>
      </c>
      <c r="E63" s="564">
        <v>1298</v>
      </c>
      <c r="F63" s="562">
        <v>125</v>
      </c>
      <c r="G63" s="563">
        <f>H63-F63</f>
        <v>1182</v>
      </c>
      <c r="H63" s="564">
        <v>1307</v>
      </c>
      <c r="I63" s="33"/>
      <c r="K63" s="34">
        <f>(C63/E63)/(F63/H63)</f>
        <v>0.85387981510015409</v>
      </c>
      <c r="L63" s="35">
        <f>(D63/(C63*E63)+(G63/(F63*H63)))</f>
        <v>1.5898435298411173E-2</v>
      </c>
      <c r="M63" s="36">
        <f>1/L63</f>
        <v>62.899271609448007</v>
      </c>
      <c r="N63" s="37">
        <f>LN(K63)</f>
        <v>-0.15796482683004731</v>
      </c>
      <c r="O63" s="37">
        <f>M63*N63</f>
        <v>-9.9358725475225658</v>
      </c>
      <c r="P63" s="37">
        <f>LN(K63)</f>
        <v>-0.15796482683004731</v>
      </c>
      <c r="Q63" s="38">
        <f>K63</f>
        <v>0.85387981510015409</v>
      </c>
      <c r="R63" s="39">
        <f>SQRT(1/M63)</f>
        <v>0.12608899753115327</v>
      </c>
      <c r="S63" s="320">
        <f>$H$2</f>
        <v>1.9599639845400536</v>
      </c>
      <c r="T63" s="41">
        <f>P63-(R63*S63)</f>
        <v>-0.40509472083786746</v>
      </c>
      <c r="U63" s="41">
        <f>P63+(R63*S63)</f>
        <v>8.9165067177772839E-2</v>
      </c>
      <c r="V63" s="319">
        <f>EXP(T63)</f>
        <v>0.66691363724808761</v>
      </c>
      <c r="W63" s="319">
        <f>EXP(U63)</f>
        <v>1.0932611029578465</v>
      </c>
      <c r="X63" s="44"/>
      <c r="Z63" s="45">
        <f>(N63-P66)^2</f>
        <v>5.9679515785021304E-5</v>
      </c>
      <c r="AA63" s="46">
        <f>M63*Z63</f>
        <v>3.7537980728823946E-3</v>
      </c>
      <c r="AB63" s="2">
        <v>1</v>
      </c>
      <c r="AC63" s="28"/>
      <c r="AD63" s="28"/>
      <c r="AE63" s="36">
        <f>M63^2</f>
        <v>3956.318368999112</v>
      </c>
      <c r="AF63" s="47"/>
      <c r="AG63" s="48">
        <f>AG66</f>
        <v>-1.3192004385916211E-2</v>
      </c>
      <c r="AH63" s="48" t="str">
        <f>AH66</f>
        <v>0</v>
      </c>
      <c r="AI63" s="46">
        <f>1/M63</f>
        <v>1.5898435298411173E-2</v>
      </c>
      <c r="AJ63" s="49">
        <f>1/(AH63+AI63)</f>
        <v>62.899271609448007</v>
      </c>
      <c r="AK63" s="50">
        <f>AJ63/AJ66</f>
        <v>0.37258480001743399</v>
      </c>
      <c r="AL63" s="51">
        <f>AJ63*N63</f>
        <v>-9.9358725475225658</v>
      </c>
      <c r="AM63" s="51">
        <f>AL63/AJ63</f>
        <v>-0.15796482683004731</v>
      </c>
      <c r="AN63" s="319">
        <f>EXP(AM63)</f>
        <v>0.85387981510015409</v>
      </c>
      <c r="AO63" s="38">
        <f>1/AJ63</f>
        <v>1.5898435298411173E-2</v>
      </c>
      <c r="AP63" s="319">
        <f>SQRT(AO63)</f>
        <v>0.12608899753115327</v>
      </c>
      <c r="AQ63" s="320">
        <f>$H$2</f>
        <v>1.9599639845400536</v>
      </c>
      <c r="AR63" s="41">
        <f>AM63-(AQ63*AP63)</f>
        <v>-0.40509472083786746</v>
      </c>
      <c r="AS63" s="41">
        <f>AM63+(1.96*AP63)</f>
        <v>8.9169608331013089E-2</v>
      </c>
      <c r="AT63" s="53">
        <f>EXP(AR63)</f>
        <v>0.66691363724808761</v>
      </c>
      <c r="AU63" s="53">
        <f>EXP(AS63)</f>
        <v>1.0932660676353192</v>
      </c>
      <c r="AV63" s="17"/>
      <c r="AX63" s="54"/>
      <c r="AY63" s="54">
        <v>1</v>
      </c>
      <c r="AZ63" s="55"/>
      <c r="BA63" s="55"/>
      <c r="BC63" s="28"/>
      <c r="BD63" s="28"/>
      <c r="BE63" s="2"/>
      <c r="BF63" s="2"/>
      <c r="BG63" s="2"/>
      <c r="BH63" s="2"/>
      <c r="BI63" s="2"/>
      <c r="BJ63" s="2"/>
      <c r="BK63" s="2"/>
      <c r="BL63" s="2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</row>
    <row r="64" spans="1:86">
      <c r="A64" s="424"/>
      <c r="B64" s="561" t="s">
        <v>230</v>
      </c>
      <c r="C64" s="562">
        <v>83</v>
      </c>
      <c r="D64" s="563">
        <f t="shared" ref="D64" si="141">E64-C64</f>
        <v>853</v>
      </c>
      <c r="E64" s="564">
        <v>936</v>
      </c>
      <c r="F64" s="562">
        <v>89</v>
      </c>
      <c r="G64" s="563">
        <f t="shared" ref="G64" si="142">H64-F64</f>
        <v>849</v>
      </c>
      <c r="H64" s="564">
        <v>938</v>
      </c>
      <c r="I64" s="33"/>
      <c r="K64" s="34">
        <f t="shared" ref="K64:K65" si="143">(C64/E64)/(F64/H64)</f>
        <v>0.93457697109382498</v>
      </c>
      <c r="L64" s="35">
        <f t="shared" ref="L64:L65" si="144">(D64/(C64*E64)+(G64/(F64*H64)))</f>
        <v>2.1149673677864592E-2</v>
      </c>
      <c r="M64" s="36">
        <f t="shared" ref="M64:M65" si="145">1/L64</f>
        <v>47.28205338915501</v>
      </c>
      <c r="N64" s="37">
        <f t="shared" ref="N64:N65" si="146">LN(K64)</f>
        <v>-6.7661289406909339E-2</v>
      </c>
      <c r="O64" s="37">
        <f t="shared" ref="O64:O65" si="147">M64*N64</f>
        <v>-3.1991646981165558</v>
      </c>
      <c r="P64" s="37">
        <f t="shared" ref="P64:P65" si="148">LN(K64)</f>
        <v>-6.7661289406909339E-2</v>
      </c>
      <c r="Q64" s="38">
        <f t="shared" ref="Q64:Q65" si="149">K64</f>
        <v>0.93457697109382498</v>
      </c>
      <c r="R64" s="39">
        <f t="shared" ref="R64:R65" si="150">SQRT(1/M64)</f>
        <v>0.1454292737995504</v>
      </c>
      <c r="S64" s="320">
        <f t="shared" ref="S64:S66" si="151">$H$2</f>
        <v>1.9599639845400536</v>
      </c>
      <c r="T64" s="41">
        <f t="shared" ref="T64:T65" si="152">P64-(R64*S64)</f>
        <v>-0.35269742835184259</v>
      </c>
      <c r="U64" s="41">
        <f t="shared" ref="U64:U65" si="153">P64+(R64*S64)</f>
        <v>0.21737484953802388</v>
      </c>
      <c r="V64" s="319">
        <f t="shared" ref="V64:W65" si="154">EXP(T64)</f>
        <v>0.70278980548017467</v>
      </c>
      <c r="W64" s="319">
        <f t="shared" si="154"/>
        <v>1.2428098815436606</v>
      </c>
      <c r="X64" s="44"/>
      <c r="Z64" s="45">
        <f>(N64-P66)^2</f>
        <v>6.8191732520566069E-3</v>
      </c>
      <c r="AA64" s="46">
        <f t="shared" ref="AA64:AA65" si="155">M64*Z64</f>
        <v>0.32242451377363829</v>
      </c>
      <c r="AB64" s="2">
        <v>1</v>
      </c>
      <c r="AC64" s="28"/>
      <c r="AD64" s="28"/>
      <c r="AE64" s="36">
        <f t="shared" ref="AE64:AE65" si="156">M64^2</f>
        <v>2235.5925726949049</v>
      </c>
      <c r="AF64" s="47"/>
      <c r="AG64" s="48">
        <f>AG66</f>
        <v>-1.3192004385916211E-2</v>
      </c>
      <c r="AH64" s="48" t="str">
        <f>AH66</f>
        <v>0</v>
      </c>
      <c r="AI64" s="46">
        <f t="shared" ref="AI64:AI65" si="157">1/M64</f>
        <v>2.1149673677864592E-2</v>
      </c>
      <c r="AJ64" s="49">
        <f t="shared" ref="AJ64:AJ65" si="158">1/(AH64+AI64)</f>
        <v>47.28205338915501</v>
      </c>
      <c r="AK64" s="50">
        <f>AJ64/AJ66</f>
        <v>0.28007596837998672</v>
      </c>
      <c r="AL64" s="51">
        <f t="shared" ref="AL64:AL65" si="159">AJ64*N64</f>
        <v>-3.1991646981165558</v>
      </c>
      <c r="AM64" s="51">
        <f t="shared" ref="AM64:AM65" si="160">AL64/AJ64</f>
        <v>-6.7661289406909339E-2</v>
      </c>
      <c r="AN64" s="319">
        <f t="shared" ref="AN64:AN65" si="161">EXP(AM64)</f>
        <v>0.93457697109382498</v>
      </c>
      <c r="AO64" s="38">
        <f t="shared" ref="AO64:AO65" si="162">1/AJ64</f>
        <v>2.1149673677864592E-2</v>
      </c>
      <c r="AP64" s="319">
        <f t="shared" ref="AP64:AP65" si="163">SQRT(AO64)</f>
        <v>0.1454292737995504</v>
      </c>
      <c r="AQ64" s="320">
        <f t="shared" ref="AQ64:AQ66" si="164">$H$2</f>
        <v>1.9599639845400536</v>
      </c>
      <c r="AR64" s="41">
        <f t="shared" ref="AR64:AR65" si="165">AM64-(AQ64*AP64)</f>
        <v>-0.35269742835184259</v>
      </c>
      <c r="AS64" s="41">
        <f t="shared" ref="AS64:AS65" si="166">AM64+(1.96*AP64)</f>
        <v>0.21738008724020941</v>
      </c>
      <c r="AT64" s="53">
        <f t="shared" ref="AT64:AU65" si="167">EXP(AR64)</f>
        <v>0.70278980548017467</v>
      </c>
      <c r="AU64" s="53">
        <f t="shared" si="167"/>
        <v>1.2428163910287409</v>
      </c>
      <c r="AV64" s="17"/>
      <c r="AX64" s="54"/>
      <c r="AY64" s="54">
        <v>1</v>
      </c>
      <c r="AZ64" s="55"/>
      <c r="BA64" s="55"/>
      <c r="BC64" s="28"/>
      <c r="BD64" s="28"/>
      <c r="BE64" s="2"/>
      <c r="BF64" s="2"/>
      <c r="BG64" s="2"/>
      <c r="BH64" s="2"/>
      <c r="BI64" s="2"/>
      <c r="BJ64" s="2"/>
      <c r="BK64" s="2"/>
      <c r="BL64" s="2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</row>
    <row r="65" spans="1:75">
      <c r="A65" s="549" t="s">
        <v>297</v>
      </c>
      <c r="B65" s="561" t="s">
        <v>370</v>
      </c>
      <c r="C65" s="562">
        <v>99</v>
      </c>
      <c r="D65" s="563">
        <f t="shared" ref="D65" si="168">E65-C65</f>
        <v>1432</v>
      </c>
      <c r="E65" s="564">
        <v>1531</v>
      </c>
      <c r="F65" s="562">
        <v>121</v>
      </c>
      <c r="G65" s="563">
        <f t="shared" ref="G65" si="169">H65-F65</f>
        <v>1398</v>
      </c>
      <c r="H65" s="564">
        <v>1519</v>
      </c>
      <c r="I65" s="33"/>
      <c r="K65" s="34">
        <f t="shared" si="143"/>
        <v>0.81176889733388746</v>
      </c>
      <c r="L65" s="35">
        <f t="shared" si="144"/>
        <v>1.7053977199518434E-2</v>
      </c>
      <c r="M65" s="36">
        <f t="shared" si="145"/>
        <v>58.637348244387105</v>
      </c>
      <c r="N65" s="37">
        <f t="shared" si="146"/>
        <v>-0.20853958852406215</v>
      </c>
      <c r="O65" s="37">
        <f t="shared" si="147"/>
        <v>-12.228208475026625</v>
      </c>
      <c r="P65" s="37">
        <f t="shared" si="148"/>
        <v>-0.20853958852406215</v>
      </c>
      <c r="Q65" s="38">
        <f t="shared" si="149"/>
        <v>0.81176889733388746</v>
      </c>
      <c r="R65" s="39">
        <f t="shared" si="150"/>
        <v>0.13059087716804124</v>
      </c>
      <c r="S65" s="320">
        <f t="shared" si="151"/>
        <v>1.9599639845400536</v>
      </c>
      <c r="T65" s="41">
        <f t="shared" si="152"/>
        <v>-0.46449300448291697</v>
      </c>
      <c r="U65" s="41">
        <f t="shared" si="153"/>
        <v>4.7413827434792694E-2</v>
      </c>
      <c r="V65" s="319">
        <f t="shared" si="154"/>
        <v>0.62845364761506195</v>
      </c>
      <c r="W65" s="319">
        <f t="shared" si="154"/>
        <v>1.0485558404814996</v>
      </c>
      <c r="X65" s="44"/>
      <c r="Z65" s="45">
        <f>(N65-P66)^2</f>
        <v>3.3988915765086631E-3</v>
      </c>
      <c r="AA65" s="46">
        <f t="shared" si="155"/>
        <v>0.19930198901665239</v>
      </c>
      <c r="AB65" s="2">
        <v>1</v>
      </c>
      <c r="AC65" s="28"/>
      <c r="AD65" s="28"/>
      <c r="AE65" s="36">
        <f t="shared" si="156"/>
        <v>3438.3386091335274</v>
      </c>
      <c r="AF65" s="47"/>
      <c r="AG65" s="48">
        <f>AG66</f>
        <v>-1.3192004385916211E-2</v>
      </c>
      <c r="AH65" s="48" t="str">
        <f>AH66</f>
        <v>0</v>
      </c>
      <c r="AI65" s="46">
        <f t="shared" si="157"/>
        <v>1.7053977199518434E-2</v>
      </c>
      <c r="AJ65" s="49">
        <f t="shared" si="158"/>
        <v>58.637348244387105</v>
      </c>
      <c r="AK65" s="50">
        <f>AJ65/AJ66</f>
        <v>0.34733923160257935</v>
      </c>
      <c r="AL65" s="51">
        <f t="shared" si="159"/>
        <v>-12.228208475026625</v>
      </c>
      <c r="AM65" s="51">
        <f t="shared" si="160"/>
        <v>-0.20853958852406215</v>
      </c>
      <c r="AN65" s="319">
        <f t="shared" si="161"/>
        <v>0.81176889733388746</v>
      </c>
      <c r="AO65" s="38">
        <f t="shared" si="162"/>
        <v>1.7053977199518434E-2</v>
      </c>
      <c r="AP65" s="319">
        <f t="shared" si="163"/>
        <v>0.13059087716804124</v>
      </c>
      <c r="AQ65" s="320">
        <f t="shared" si="164"/>
        <v>1.9599639845400536</v>
      </c>
      <c r="AR65" s="41">
        <f t="shared" si="165"/>
        <v>-0.46449300448291697</v>
      </c>
      <c r="AS65" s="41">
        <f t="shared" si="166"/>
        <v>4.7418530725298697E-2</v>
      </c>
      <c r="AT65" s="53">
        <f t="shared" si="167"/>
        <v>0.62845364761506195</v>
      </c>
      <c r="AU65" s="53">
        <f t="shared" si="167"/>
        <v>1.0485607721558268</v>
      </c>
      <c r="AV65" s="17"/>
      <c r="AX65" s="54"/>
      <c r="AY65" s="54">
        <v>1</v>
      </c>
      <c r="AZ65" s="55"/>
      <c r="BA65" s="55"/>
      <c r="BC65" s="28"/>
      <c r="BD65" s="28"/>
      <c r="BE65" s="2"/>
      <c r="BF65" s="2"/>
      <c r="BG65" s="2"/>
      <c r="BH65" s="2"/>
      <c r="BI65" s="2"/>
      <c r="BJ65" s="2"/>
      <c r="BK65" s="2"/>
      <c r="BL65" s="2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</row>
    <row r="66" spans="1:75">
      <c r="A66" s="424"/>
      <c r="B66" s="56">
        <f>COUNT(D63:D65)</f>
        <v>3</v>
      </c>
      <c r="C66" s="57">
        <f t="shared" ref="C66:H66" si="170">SUM(C63:C65)</f>
        <v>288</v>
      </c>
      <c r="D66" s="57">
        <f t="shared" si="170"/>
        <v>3477</v>
      </c>
      <c r="E66" s="57">
        <f t="shared" si="170"/>
        <v>3765</v>
      </c>
      <c r="F66" s="57">
        <f t="shared" si="170"/>
        <v>335</v>
      </c>
      <c r="G66" s="57">
        <f t="shared" si="170"/>
        <v>3429</v>
      </c>
      <c r="H66" s="57">
        <f t="shared" si="170"/>
        <v>3764</v>
      </c>
      <c r="I66" s="58"/>
      <c r="K66" s="59"/>
      <c r="L66" s="113"/>
      <c r="M66" s="61">
        <f>SUM(M63:M65)</f>
        <v>168.81867324299012</v>
      </c>
      <c r="N66" s="62"/>
      <c r="O66" s="63">
        <f>SUM(O63:O65)</f>
        <v>-25.363245720665745</v>
      </c>
      <c r="P66" s="64">
        <f>O66/M66</f>
        <v>-0.15023957500340623</v>
      </c>
      <c r="Q66" s="497">
        <f>EXP(P66)</f>
        <v>0.8605017970073775</v>
      </c>
      <c r="R66" s="497">
        <f>SQRT(1/M66)</f>
        <v>7.6964377060096067E-2</v>
      </c>
      <c r="S66" s="520">
        <f t="shared" si="151"/>
        <v>1.9599639845400536</v>
      </c>
      <c r="T66" s="499">
        <f>P66-(R66*S66)</f>
        <v>-0.30108698213375523</v>
      </c>
      <c r="U66" s="499">
        <f>P66+(R66*S66)</f>
        <v>6.0783212694276445E-4</v>
      </c>
      <c r="V66" s="497">
        <f>EXP(T66)</f>
        <v>0.74001340200248222</v>
      </c>
      <c r="W66" s="497">
        <f>EXP(U66)</f>
        <v>1.0006080168943239</v>
      </c>
      <c r="X66" s="66"/>
      <c r="Y66" s="66"/>
      <c r="Z66" s="67"/>
      <c r="AA66" s="68">
        <f>SUM(AA63:AA65)</f>
        <v>0.5254803008631731</v>
      </c>
      <c r="AB66" s="69">
        <f>SUM(AB63:AB65)</f>
        <v>3</v>
      </c>
      <c r="AC66" s="70">
        <f>AA66-(AB66-1)</f>
        <v>-1.474519699136827</v>
      </c>
      <c r="AD66" s="61">
        <f>M66</f>
        <v>168.81867324299012</v>
      </c>
      <c r="AE66" s="61">
        <f>SUM(AE63:AE65)</f>
        <v>9630.2495508275442</v>
      </c>
      <c r="AF66" s="71">
        <f>AE66/AD66</f>
        <v>57.044930906228544</v>
      </c>
      <c r="AG66" s="72">
        <f>AC66/(AD66-AF66)</f>
        <v>-1.3192004385916211E-2</v>
      </c>
      <c r="AH66" s="72" t="str">
        <f>IF(AA66&lt;AB66-1,"0",AG66)</f>
        <v>0</v>
      </c>
      <c r="AI66" s="67"/>
      <c r="AJ66" s="61">
        <f>SUM(AJ63:AJ65)</f>
        <v>168.81867324299012</v>
      </c>
      <c r="AK66" s="73">
        <f>SUM(AK63:AK65)</f>
        <v>1</v>
      </c>
      <c r="AL66" s="70">
        <f>SUM(AL63:AL65)</f>
        <v>-25.363245720665745</v>
      </c>
      <c r="AM66" s="70">
        <f>AL66/AJ66</f>
        <v>-0.15023957500340623</v>
      </c>
      <c r="AN66" s="497">
        <f>EXP(AM66)</f>
        <v>0.8605017970073775</v>
      </c>
      <c r="AO66" s="64">
        <f>1/AJ66</f>
        <v>5.9235153362486408E-3</v>
      </c>
      <c r="AP66" s="63">
        <f>SQRT(AO66)</f>
        <v>7.6964377060096067E-2</v>
      </c>
      <c r="AQ66" s="320">
        <f t="shared" si="164"/>
        <v>1.9599639845400536</v>
      </c>
      <c r="AR66" s="65">
        <f>AM66-(AQ66*AP66)</f>
        <v>-0.30108698213375523</v>
      </c>
      <c r="AS66" s="65">
        <f>AM66+(1.96*AP66)</f>
        <v>6.1060403438206734E-4</v>
      </c>
      <c r="AT66" s="519">
        <f>EXP(AR66)</f>
        <v>0.74001340200248222</v>
      </c>
      <c r="AU66" s="541">
        <f>EXP(AS66)</f>
        <v>1.000610790490974</v>
      </c>
      <c r="AV66" s="76"/>
      <c r="AW66" s="77"/>
      <c r="AX66" s="78">
        <f>AA66</f>
        <v>0.5254803008631731</v>
      </c>
      <c r="AY66" s="56">
        <f>SUM(AY63:AY65)</f>
        <v>3</v>
      </c>
      <c r="AZ66" s="79">
        <f>(AX66-(AY66-1))/AX66</f>
        <v>-2.8060418187222758</v>
      </c>
      <c r="BA66" s="80" t="str">
        <f>IF(AA66&lt;AB66-1,"0%",AZ66)</f>
        <v>0%</v>
      </c>
      <c r="BB66" s="77"/>
      <c r="BC66" s="63">
        <f>AX66/(AY66-1)</f>
        <v>0.26274015043158655</v>
      </c>
      <c r="BD66" s="81">
        <f>LN(BC66)</f>
        <v>-1.336589756391702</v>
      </c>
      <c r="BE66" s="63">
        <f>LN(AX66)</f>
        <v>-0.64344257583175657</v>
      </c>
      <c r="BF66" s="63">
        <f>LN(AY66-1)</f>
        <v>0.69314718055994529</v>
      </c>
      <c r="BG66" s="63">
        <f>SQRT(2*AX66)</f>
        <v>1.0251636950879339</v>
      </c>
      <c r="BH66" s="63">
        <f>SQRT(2*AY66-3)</f>
        <v>1.7320508075688772</v>
      </c>
      <c r="BI66" s="63">
        <f>2*(AY66-2)</f>
        <v>2</v>
      </c>
      <c r="BJ66" s="63">
        <f>3*(AY66-2)^2</f>
        <v>3</v>
      </c>
      <c r="BK66" s="63">
        <f>1/BI66</f>
        <v>0.5</v>
      </c>
      <c r="BL66" s="82">
        <f>1/BJ66</f>
        <v>0.33333333333333331</v>
      </c>
      <c r="BM66" s="82">
        <f>SQRT(BK66*(1-BL66))</f>
        <v>0.57735026918962584</v>
      </c>
      <c r="BN66" s="83">
        <f>0.5*(BE66-BF66)/(BG66-BH66)</f>
        <v>0.94540537859058393</v>
      </c>
      <c r="BO66" s="83">
        <f>IF(AA66&lt;=AB66,BM66,BN66)</f>
        <v>0.57735026918962584</v>
      </c>
      <c r="BP66" s="70">
        <f>BD66-(1.96*BO66)</f>
        <v>-2.4681962840033687</v>
      </c>
      <c r="BQ66" s="70">
        <f>BD66+(1.96*BO66)</f>
        <v>-0.20498322878003528</v>
      </c>
      <c r="BR66" s="70"/>
      <c r="BS66" s="81">
        <f>EXP(BP66)</f>
        <v>8.473756374140895E-2</v>
      </c>
      <c r="BT66" s="81">
        <f>EXP(BQ66)</f>
        <v>0.81466097915532187</v>
      </c>
      <c r="BU66" s="84" t="str">
        <f>BA66</f>
        <v>0%</v>
      </c>
      <c r="BV66" s="84">
        <f>(BS66-1)/BS66</f>
        <v>-10.801141735106636</v>
      </c>
      <c r="BW66" s="84">
        <f>(BT66-1)/BT66</f>
        <v>-0.22750447804293533</v>
      </c>
    </row>
    <row r="67" spans="1:75" ht="13.5" thickBot="1">
      <c r="A67" s="424"/>
      <c r="C67" s="545"/>
      <c r="D67" s="85"/>
      <c r="E67" s="85"/>
      <c r="F67" s="545"/>
      <c r="G67" s="85"/>
      <c r="H67" s="85"/>
      <c r="I67" s="86"/>
      <c r="R67" s="87"/>
      <c r="S67" s="87"/>
      <c r="T67" s="87"/>
      <c r="U67" s="87"/>
      <c r="V67" s="87"/>
      <c r="W67" s="87"/>
      <c r="X67" s="87"/>
      <c r="AB67" s="88"/>
      <c r="AC67" s="89"/>
      <c r="AD67" s="90"/>
      <c r="AE67" s="89"/>
      <c r="AF67" s="91"/>
      <c r="AG67" s="91"/>
      <c r="AH67" s="91"/>
      <c r="AI67" s="91"/>
      <c r="AT67" s="92"/>
      <c r="AU67" s="92"/>
      <c r="AV67" s="92"/>
      <c r="AX67" s="5" t="s">
        <v>56</v>
      </c>
      <c r="BG67" s="11"/>
      <c r="BN67" s="89" t="s">
        <v>57</v>
      </c>
      <c r="BT67" s="93" t="s">
        <v>58</v>
      </c>
      <c r="BU67" s="504" t="str">
        <f>BU66</f>
        <v>0%</v>
      </c>
      <c r="BV67" s="504" t="str">
        <f>IF(BV66&lt;0,"0%",BV66)</f>
        <v>0%</v>
      </c>
      <c r="BW67" s="505" t="str">
        <f>IF(BW66&lt;0,"0%",BW66)</f>
        <v>0%</v>
      </c>
    </row>
    <row r="68" spans="1:75" s="15" customFormat="1" ht="26.5" thickBot="1">
      <c r="A68" s="569"/>
      <c r="B68" s="570"/>
      <c r="C68" s="571"/>
      <c r="D68" s="571"/>
      <c r="E68" s="572"/>
      <c r="F68" s="571"/>
      <c r="G68" s="571"/>
      <c r="H68" s="571"/>
      <c r="I68" s="573"/>
      <c r="J68" s="570"/>
      <c r="K68" s="570"/>
      <c r="R68" s="574"/>
      <c r="S68" s="574"/>
      <c r="T68" s="574"/>
      <c r="U68" s="574"/>
      <c r="V68" s="574"/>
      <c r="W68" s="574"/>
      <c r="X68" s="574"/>
      <c r="AI68" s="575"/>
      <c r="AJ68" s="576"/>
      <c r="AK68" s="576"/>
      <c r="AL68" s="577"/>
      <c r="AM68" s="578"/>
      <c r="AO68" s="100" t="s">
        <v>59</v>
      </c>
      <c r="AP68" s="101">
        <f>TINV((1-$H$1),(AB66-2))</f>
        <v>12.706204736174694</v>
      </c>
      <c r="AR68" s="579" t="s">
        <v>60</v>
      </c>
      <c r="AS68" s="102">
        <f>$H$1</f>
        <v>0.95</v>
      </c>
      <c r="AT68" s="507">
        <f>EXP(AM66-AP68*SQRT((1/AD66)+AH66))</f>
        <v>0.32362666136210205</v>
      </c>
      <c r="AU68" s="507">
        <f>EXP(AM66+AP68*SQRT((1/AD66)+AH66))</f>
        <v>2.2880171229910817</v>
      </c>
      <c r="AV68" s="17"/>
      <c r="AX68" s="103">
        <f>_xlfn.CHISQ.DIST.RT(AX66,AY66-1)</f>
        <v>0.76894168051706369</v>
      </c>
      <c r="AY68" s="104" t="str">
        <f>IF(AX68&lt;0.05,"heterogeneidad","homogeneidad")</f>
        <v>homogeneidad</v>
      </c>
      <c r="BF68" s="580"/>
      <c r="BG68" s="575"/>
      <c r="BH68" s="575"/>
      <c r="BJ68" s="581"/>
      <c r="BL68" s="575"/>
      <c r="BM68" s="582"/>
      <c r="BQ68" s="575"/>
    </row>
    <row r="69" spans="1:75" ht="14.5">
      <c r="A69" s="424"/>
      <c r="B69" s="5"/>
      <c r="C69" s="94"/>
      <c r="D69" s="94"/>
      <c r="E69" s="85"/>
      <c r="F69" s="94"/>
      <c r="G69" s="94"/>
      <c r="H69" s="94"/>
      <c r="I69" s="95"/>
      <c r="J69" s="5"/>
      <c r="K69" s="5"/>
      <c r="R69" s="96"/>
      <c r="S69" s="96"/>
      <c r="T69" s="96"/>
      <c r="U69" s="96"/>
      <c r="V69" s="96"/>
      <c r="W69" s="96"/>
      <c r="X69" s="96"/>
      <c r="AF69" s="1"/>
      <c r="AI69" s="11"/>
      <c r="AJ69" s="97"/>
      <c r="AK69" s="97"/>
      <c r="AL69" s="98"/>
      <c r="AM69" s="99"/>
      <c r="AN69" s="107"/>
      <c r="AO69" s="108"/>
      <c r="AP69" s="14"/>
      <c r="AS69" s="109"/>
      <c r="AT69" s="17"/>
      <c r="AU69" s="17"/>
      <c r="AV69" s="17"/>
      <c r="BF69" s="105"/>
      <c r="BG69" s="11"/>
      <c r="BH69" s="11"/>
      <c r="BJ69" s="44"/>
      <c r="BL69" s="11"/>
      <c r="BM69" s="110"/>
      <c r="BQ69" s="11"/>
    </row>
    <row r="70" spans="1:75" ht="13" customHeight="1">
      <c r="A70" s="424"/>
      <c r="C70" s="85"/>
      <c r="D70" s="85"/>
      <c r="E70" s="85"/>
      <c r="F70" s="85"/>
      <c r="G70" s="85"/>
      <c r="H70" s="85"/>
      <c r="I70" s="86"/>
      <c r="J70" s="619" t="s">
        <v>4</v>
      </c>
      <c r="K70" s="620"/>
      <c r="L70" s="620"/>
      <c r="M70" s="620"/>
      <c r="N70" s="620"/>
      <c r="O70" s="620"/>
      <c r="P70" s="620"/>
      <c r="Q70" s="620"/>
      <c r="R70" s="620"/>
      <c r="S70" s="620"/>
      <c r="T70" s="620"/>
      <c r="U70" s="620"/>
      <c r="V70" s="620"/>
      <c r="W70" s="621"/>
      <c r="X70" s="12"/>
      <c r="Y70" s="619" t="s">
        <v>5</v>
      </c>
      <c r="Z70" s="620"/>
      <c r="AA70" s="620"/>
      <c r="AB70" s="620"/>
      <c r="AC70" s="620"/>
      <c r="AD70" s="620"/>
      <c r="AE70" s="620"/>
      <c r="AF70" s="620"/>
      <c r="AG70" s="620"/>
      <c r="AH70" s="620"/>
      <c r="AI70" s="620"/>
      <c r="AJ70" s="620"/>
      <c r="AK70" s="620"/>
      <c r="AL70" s="620"/>
      <c r="AM70" s="620"/>
      <c r="AN70" s="620"/>
      <c r="AO70" s="620"/>
      <c r="AP70" s="620"/>
      <c r="AQ70" s="620"/>
      <c r="AR70" s="620"/>
      <c r="AS70" s="620"/>
      <c r="AT70" s="620"/>
      <c r="AU70" s="621"/>
      <c r="AV70" s="12"/>
      <c r="AW70" s="619" t="s">
        <v>229</v>
      </c>
      <c r="AX70" s="620"/>
      <c r="AY70" s="620"/>
      <c r="AZ70" s="620"/>
      <c r="BA70" s="620"/>
      <c r="BB70" s="620"/>
      <c r="BC70" s="620"/>
      <c r="BD70" s="620"/>
      <c r="BE70" s="620"/>
      <c r="BF70" s="620"/>
      <c r="BG70" s="620"/>
      <c r="BH70" s="620"/>
      <c r="BI70" s="620"/>
      <c r="BJ70" s="620"/>
      <c r="BK70" s="620"/>
      <c r="BL70" s="620"/>
      <c r="BM70" s="620"/>
      <c r="BN70" s="620"/>
      <c r="BO70" s="620"/>
      <c r="BP70" s="620"/>
      <c r="BQ70" s="620"/>
      <c r="BR70" s="620"/>
      <c r="BS70" s="620"/>
      <c r="BT70" s="620"/>
      <c r="BU70" s="620"/>
      <c r="BV70" s="620"/>
      <c r="BW70" s="621"/>
    </row>
    <row r="71" spans="1:75">
      <c r="A71" s="567" t="s">
        <v>477</v>
      </c>
      <c r="B71" s="13" t="s">
        <v>6</v>
      </c>
      <c r="C71" s="618" t="s">
        <v>7</v>
      </c>
      <c r="D71" s="618"/>
      <c r="E71" s="618"/>
      <c r="F71" s="618" t="s">
        <v>8</v>
      </c>
      <c r="G71" s="618"/>
      <c r="H71" s="618"/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</row>
    <row r="72" spans="1:75" ht="60">
      <c r="A72" s="568" t="s">
        <v>373</v>
      </c>
      <c r="B72" s="559" t="s">
        <v>379</v>
      </c>
      <c r="C72" s="560" t="s">
        <v>9</v>
      </c>
      <c r="D72" s="560" t="s">
        <v>10</v>
      </c>
      <c r="E72" s="560" t="s">
        <v>11</v>
      </c>
      <c r="F72" s="560" t="s">
        <v>9</v>
      </c>
      <c r="G72" s="560" t="s">
        <v>10</v>
      </c>
      <c r="H72" s="560" t="s">
        <v>11</v>
      </c>
      <c r="I72" s="17"/>
      <c r="K72" s="18" t="s">
        <v>12</v>
      </c>
      <c r="L72" s="18" t="s">
        <v>13</v>
      </c>
      <c r="M72" s="18" t="s">
        <v>14</v>
      </c>
      <c r="N72" s="19" t="s">
        <v>15</v>
      </c>
      <c r="O72" s="19" t="s">
        <v>16</v>
      </c>
      <c r="P72" s="19" t="s">
        <v>17</v>
      </c>
      <c r="Q72" s="495" t="s">
        <v>18</v>
      </c>
      <c r="R72" s="495" t="s">
        <v>19</v>
      </c>
      <c r="S72" s="496" t="s">
        <v>3</v>
      </c>
      <c r="T72" s="495" t="s">
        <v>20</v>
      </c>
      <c r="U72" s="495" t="s">
        <v>21</v>
      </c>
      <c r="V72" s="495" t="s">
        <v>22</v>
      </c>
      <c r="W72" s="495" t="s">
        <v>22</v>
      </c>
      <c r="X72" s="20"/>
      <c r="Y72" s="21"/>
      <c r="Z72" s="22" t="s">
        <v>23</v>
      </c>
      <c r="AA72" s="19" t="s">
        <v>24</v>
      </c>
      <c r="AB72" s="3" t="s">
        <v>25</v>
      </c>
      <c r="AC72" s="3" t="s">
        <v>26</v>
      </c>
      <c r="AD72" s="3" t="s">
        <v>27</v>
      </c>
      <c r="AE72" s="19" t="s">
        <v>28</v>
      </c>
      <c r="AF72" s="19" t="s">
        <v>29</v>
      </c>
      <c r="AG72" s="23" t="s">
        <v>30</v>
      </c>
      <c r="AH72" s="23" t="s">
        <v>31</v>
      </c>
      <c r="AI72" s="3" t="s">
        <v>32</v>
      </c>
      <c r="AJ72" s="19" t="s">
        <v>33</v>
      </c>
      <c r="AK72" s="19" t="s">
        <v>34</v>
      </c>
      <c r="AL72" s="19" t="s">
        <v>35</v>
      </c>
      <c r="AM72" s="3" t="s">
        <v>36</v>
      </c>
      <c r="AN72" s="496" t="s">
        <v>37</v>
      </c>
      <c r="AO72" s="19" t="s">
        <v>38</v>
      </c>
      <c r="AP72" s="19" t="s">
        <v>39</v>
      </c>
      <c r="AQ72" s="3" t="s">
        <v>3</v>
      </c>
      <c r="AR72" s="19" t="s">
        <v>40</v>
      </c>
      <c r="AS72" s="19" t="s">
        <v>41</v>
      </c>
      <c r="AT72" s="495" t="s">
        <v>22</v>
      </c>
      <c r="AU72" s="495" t="s">
        <v>22</v>
      </c>
      <c r="AV72" s="20"/>
      <c r="AX72" s="24" t="s">
        <v>42</v>
      </c>
      <c r="AY72" s="24" t="s">
        <v>25</v>
      </c>
      <c r="AZ72" s="25" t="s">
        <v>61</v>
      </c>
      <c r="BA72" s="26" t="s">
        <v>62</v>
      </c>
      <c r="BC72" s="3" t="s">
        <v>63</v>
      </c>
      <c r="BD72" s="3" t="s">
        <v>64</v>
      </c>
      <c r="BE72" s="3" t="s">
        <v>43</v>
      </c>
      <c r="BF72" s="3" t="s">
        <v>44</v>
      </c>
      <c r="BG72" s="3" t="s">
        <v>45</v>
      </c>
      <c r="BH72" s="3" t="s">
        <v>46</v>
      </c>
      <c r="BI72" s="3" t="s">
        <v>47</v>
      </c>
      <c r="BJ72" s="3" t="s">
        <v>65</v>
      </c>
      <c r="BK72" s="3" t="s">
        <v>48</v>
      </c>
      <c r="BL72" s="3" t="s">
        <v>49</v>
      </c>
      <c r="BM72" s="27" t="s">
        <v>66</v>
      </c>
      <c r="BN72" s="27" t="s">
        <v>67</v>
      </c>
      <c r="BO72" s="27" t="s">
        <v>68</v>
      </c>
      <c r="BP72" s="27" t="s">
        <v>69</v>
      </c>
      <c r="BQ72" s="27" t="s">
        <v>70</v>
      </c>
      <c r="BR72" s="28"/>
      <c r="BS72" s="19" t="s">
        <v>71</v>
      </c>
      <c r="BT72" s="19" t="s">
        <v>72</v>
      </c>
      <c r="BU72" s="495" t="s">
        <v>226</v>
      </c>
      <c r="BV72" s="495" t="s">
        <v>227</v>
      </c>
      <c r="BW72" s="495" t="s">
        <v>228</v>
      </c>
    </row>
    <row r="73" spans="1:75">
      <c r="A73" s="424"/>
      <c r="B73" s="561" t="s">
        <v>231</v>
      </c>
      <c r="C73" s="562">
        <v>121</v>
      </c>
      <c r="D73" s="563">
        <f>E73-C73</f>
        <v>954</v>
      </c>
      <c r="E73" s="564">
        <v>1075</v>
      </c>
      <c r="F73" s="562">
        <v>148</v>
      </c>
      <c r="G73" s="563">
        <f>H73-F73</f>
        <v>916</v>
      </c>
      <c r="H73" s="564">
        <v>1064</v>
      </c>
      <c r="I73" s="33"/>
      <c r="K73" s="34">
        <f>(C73/E73)/(F73/H73)</f>
        <v>0.80920175989943433</v>
      </c>
      <c r="L73" s="35">
        <f>(D73/(C73*E73)+(G73/(F73*H73)))</f>
        <v>1.3151137384474428E-2</v>
      </c>
      <c r="M73" s="36">
        <f>1/L73</f>
        <v>76.039050522014151</v>
      </c>
      <c r="N73" s="37">
        <f>LN(K73)</f>
        <v>-0.21170699882754745</v>
      </c>
      <c r="O73" s="37">
        <f>M73*N73</f>
        <v>-16.09799917971187</v>
      </c>
      <c r="P73" s="37">
        <f>LN(K73)</f>
        <v>-0.21170699882754745</v>
      </c>
      <c r="Q73" s="38">
        <f>K73</f>
        <v>0.80920175989943433</v>
      </c>
      <c r="R73" s="39">
        <f>SQRT(1/M73)</f>
        <v>0.11467840853654374</v>
      </c>
      <c r="S73" s="320">
        <f>$H$2</f>
        <v>1.9599639845400536</v>
      </c>
      <c r="T73" s="41">
        <f>P73-(R73*S73)</f>
        <v>-0.43647254936354385</v>
      </c>
      <c r="U73" s="41">
        <f>P73+(R73*S73)</f>
        <v>1.3058551708448912E-2</v>
      </c>
      <c r="V73" s="319">
        <f>EXP(T73)</f>
        <v>0.64631223932502901</v>
      </c>
      <c r="W73" s="319">
        <f>EXP(U73)</f>
        <v>1.0131441869462114</v>
      </c>
      <c r="X73" s="44"/>
      <c r="Z73" s="45">
        <f>(N73-P77)^2</f>
        <v>1.0094173030205187E-2</v>
      </c>
      <c r="AA73" s="46">
        <f>M73*Z73</f>
        <v>0.76755133302172485</v>
      </c>
      <c r="AB73" s="2">
        <v>1</v>
      </c>
      <c r="AC73" s="28"/>
      <c r="AD73" s="28"/>
      <c r="AE73" s="36">
        <f>M73^2</f>
        <v>5781.9372042894202</v>
      </c>
      <c r="AF73" s="47"/>
      <c r="AG73" s="48">
        <f>AG77</f>
        <v>-9.5966968959625091E-3</v>
      </c>
      <c r="AH73" s="48" t="str">
        <f>AH77</f>
        <v>0</v>
      </c>
      <c r="AI73" s="46">
        <f>1/M73</f>
        <v>1.3151137384474426E-2</v>
      </c>
      <c r="AJ73" s="49">
        <f>1/(AH73+AI73)</f>
        <v>76.039050522014151</v>
      </c>
      <c r="AK73" s="50">
        <f>AJ73/AJ77</f>
        <v>0.32585556862002241</v>
      </c>
      <c r="AL73" s="51">
        <f>AJ73*N73</f>
        <v>-16.09799917971187</v>
      </c>
      <c r="AM73" s="51">
        <f>AL73/AJ73</f>
        <v>-0.21170699882754743</v>
      </c>
      <c r="AN73" s="538">
        <f>EXP(AM73)</f>
        <v>0.80920175989943433</v>
      </c>
      <c r="AO73" s="41">
        <f>1/AJ73</f>
        <v>1.3151137384474426E-2</v>
      </c>
      <c r="AP73" s="538">
        <f>SQRT(AO73)</f>
        <v>0.11467840853654374</v>
      </c>
      <c r="AQ73" s="537">
        <f>$H$2</f>
        <v>1.9599639845400536</v>
      </c>
      <c r="AR73" s="41">
        <f>AM73-(AQ73*AP73)</f>
        <v>-0.43647254936354379</v>
      </c>
      <c r="AS73" s="41">
        <f>AM73+(1.96*AP73)</f>
        <v>1.3062681904078277E-2</v>
      </c>
      <c r="AT73" s="53">
        <f>EXP(AR73)</f>
        <v>0.64631223932502901</v>
      </c>
      <c r="AU73" s="53">
        <f>EXP(AS73)</f>
        <v>1.0131483714385456</v>
      </c>
      <c r="AV73" s="17"/>
      <c r="AX73" s="54"/>
      <c r="AY73" s="54">
        <v>1</v>
      </c>
      <c r="AZ73" s="55"/>
      <c r="BA73" s="55"/>
      <c r="BC73" s="28"/>
      <c r="BD73" s="28"/>
      <c r="BE73" s="2"/>
      <c r="BF73" s="2"/>
      <c r="BG73" s="2"/>
      <c r="BH73" s="2"/>
      <c r="BI73" s="2"/>
      <c r="BJ73" s="2"/>
      <c r="BK73" s="2"/>
      <c r="BL73" s="2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</row>
    <row r="74" spans="1:75">
      <c r="A74" s="424"/>
      <c r="B74" s="561" t="s">
        <v>230</v>
      </c>
      <c r="C74" s="562">
        <v>104</v>
      </c>
      <c r="D74" s="563">
        <f t="shared" ref="D74:D75" si="171">E74-C74</f>
        <v>823</v>
      </c>
      <c r="E74" s="564">
        <v>927</v>
      </c>
      <c r="F74" s="562">
        <v>113</v>
      </c>
      <c r="G74" s="563">
        <f t="shared" ref="G74:G75" si="172">H74-F74</f>
        <v>816</v>
      </c>
      <c r="H74" s="564">
        <v>929</v>
      </c>
      <c r="I74" s="33"/>
      <c r="K74" s="34">
        <f t="shared" ref="K74:K76" si="173">(C74/E74)/(F74/H74)</f>
        <v>0.92233964353562259</v>
      </c>
      <c r="L74" s="35">
        <f t="shared" ref="L74:L76" si="174">(D74/(C74*E74)+(G74/(F74*H74)))</f>
        <v>1.6309767221143464E-2</v>
      </c>
      <c r="M74" s="36">
        <f t="shared" ref="M74:M76" si="175">1/L74</f>
        <v>61.312953547468894</v>
      </c>
      <c r="N74" s="37">
        <f t="shared" ref="N74:N76" si="176">LN(K74)</f>
        <v>-8.084174632298452E-2</v>
      </c>
      <c r="O74" s="37">
        <f t="shared" ref="O74:O76" si="177">M74*N74</f>
        <v>-4.9566462369974138</v>
      </c>
      <c r="P74" s="37">
        <f t="shared" ref="P74:P76" si="178">LN(K74)</f>
        <v>-8.084174632298452E-2</v>
      </c>
      <c r="Q74" s="38">
        <f t="shared" ref="Q74:Q76" si="179">K74</f>
        <v>0.92233964353562259</v>
      </c>
      <c r="R74" s="39">
        <f t="shared" ref="R74:R76" si="180">SQRT(1/M74)</f>
        <v>0.12770969900968157</v>
      </c>
      <c r="S74" s="320">
        <f t="shared" ref="S74:S77" si="181">$H$2</f>
        <v>1.9599639845400536</v>
      </c>
      <c r="T74" s="41">
        <f t="shared" ref="T74:T76" si="182">P74-(R74*S74)</f>
        <v>-0.33114815685841092</v>
      </c>
      <c r="U74" s="41">
        <f t="shared" ref="U74:U76" si="183">P74+(R74*S74)</f>
        <v>0.16946466421244188</v>
      </c>
      <c r="V74" s="319">
        <f t="shared" ref="V74:W76" si="184">EXP(T74)</f>
        <v>0.71809876990110655</v>
      </c>
      <c r="W74" s="319">
        <f t="shared" si="184"/>
        <v>1.1846704850289265</v>
      </c>
      <c r="X74" s="44"/>
      <c r="Z74" s="45">
        <f>(N74-P77)^2</f>
        <v>9.2388585696929668E-4</v>
      </c>
      <c r="AA74" s="46">
        <f t="shared" ref="AA74:AA76" si="185">M74*Z74</f>
        <v>5.6646170631521976E-2</v>
      </c>
      <c r="AB74" s="2">
        <v>1</v>
      </c>
      <c r="AC74" s="28"/>
      <c r="AD74" s="28"/>
      <c r="AE74" s="36">
        <f t="shared" ref="AE74:AE76" si="186">M74^2</f>
        <v>3759.2782727140784</v>
      </c>
      <c r="AF74" s="47"/>
      <c r="AG74" s="48">
        <f>AG77</f>
        <v>-9.5966968959625091E-3</v>
      </c>
      <c r="AH74" s="48" t="str">
        <f>AH77</f>
        <v>0</v>
      </c>
      <c r="AI74" s="46">
        <f t="shared" ref="AI74:AI76" si="187">1/M74</f>
        <v>1.6309767221143464E-2</v>
      </c>
      <c r="AJ74" s="49">
        <f t="shared" ref="AJ74:AJ76" si="188">1/(AH74+AI74)</f>
        <v>61.312953547468894</v>
      </c>
      <c r="AK74" s="50">
        <f>AJ74/AJ77</f>
        <v>0.26274877454182977</v>
      </c>
      <c r="AL74" s="51">
        <f t="shared" ref="AL74:AL76" si="189">AJ74*N74</f>
        <v>-4.9566462369974138</v>
      </c>
      <c r="AM74" s="51">
        <f t="shared" ref="AM74:AM76" si="190">AL74/AJ74</f>
        <v>-8.084174632298452E-2</v>
      </c>
      <c r="AN74" s="538">
        <f t="shared" ref="AN74:AN76" si="191">EXP(AM74)</f>
        <v>0.92233964353562259</v>
      </c>
      <c r="AO74" s="41">
        <f t="shared" ref="AO74:AO76" si="192">1/AJ74</f>
        <v>1.6309767221143464E-2</v>
      </c>
      <c r="AP74" s="538">
        <f t="shared" ref="AP74:AP76" si="193">SQRT(AO74)</f>
        <v>0.12770969900968157</v>
      </c>
      <c r="AQ74" s="537">
        <f t="shared" ref="AQ74:AQ77" si="194">$H$2</f>
        <v>1.9599639845400536</v>
      </c>
      <c r="AR74" s="41">
        <f t="shared" ref="AR74:AR76" si="195">AM74-(AQ74*AP74)</f>
        <v>-0.33114815685841092</v>
      </c>
      <c r="AS74" s="41">
        <f t="shared" ref="AS74:AS76" si="196">AM74+(1.96*AP74)</f>
        <v>0.16946926373599136</v>
      </c>
      <c r="AT74" s="53">
        <f t="shared" ref="AT74:AU76" si="197">EXP(AR74)</f>
        <v>0.71809876990110655</v>
      </c>
      <c r="AU74" s="53">
        <f t="shared" si="197"/>
        <v>1.184675933961252</v>
      </c>
      <c r="AV74" s="17"/>
      <c r="AX74" s="54"/>
      <c r="AY74" s="54">
        <v>1</v>
      </c>
      <c r="AZ74" s="55"/>
      <c r="BA74" s="55"/>
      <c r="BC74" s="28"/>
      <c r="BD74" s="28"/>
      <c r="BE74" s="2"/>
      <c r="BF74" s="2"/>
      <c r="BG74" s="2"/>
      <c r="BH74" s="2"/>
      <c r="BI74" s="2"/>
      <c r="BJ74" s="2"/>
      <c r="BK74" s="2"/>
      <c r="BL74" s="2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</row>
    <row r="75" spans="1:75">
      <c r="A75" s="424"/>
      <c r="B75" s="561" t="s">
        <v>296</v>
      </c>
      <c r="C75" s="562">
        <v>51</v>
      </c>
      <c r="D75" s="563">
        <f t="shared" si="171"/>
        <v>557</v>
      </c>
      <c r="E75" s="564">
        <v>608</v>
      </c>
      <c r="F75" s="562">
        <v>58</v>
      </c>
      <c r="G75" s="563">
        <f t="shared" si="172"/>
        <v>556</v>
      </c>
      <c r="H75" s="564">
        <v>614</v>
      </c>
      <c r="I75" s="33"/>
      <c r="K75" s="34">
        <f t="shared" si="173"/>
        <v>0.88798774954627946</v>
      </c>
      <c r="L75" s="35">
        <f t="shared" si="174"/>
        <v>3.357582111038046E-2</v>
      </c>
      <c r="M75" s="36">
        <f t="shared" si="175"/>
        <v>29.783337143490893</v>
      </c>
      <c r="N75" s="37">
        <f t="shared" si="176"/>
        <v>-0.11879733164111815</v>
      </c>
      <c r="O75" s="37">
        <f t="shared" si="177"/>
        <v>-3.5381809800145203</v>
      </c>
      <c r="P75" s="37">
        <f t="shared" si="178"/>
        <v>-0.11879733164111815</v>
      </c>
      <c r="Q75" s="38">
        <f t="shared" si="179"/>
        <v>0.88798774954627946</v>
      </c>
      <c r="R75" s="39">
        <f t="shared" si="180"/>
        <v>0.18323706260028416</v>
      </c>
      <c r="S75" s="320">
        <f t="shared" si="181"/>
        <v>1.9599639845400536</v>
      </c>
      <c r="T75" s="41">
        <f t="shared" si="182"/>
        <v>-0.47793537497058636</v>
      </c>
      <c r="U75" s="41">
        <f t="shared" si="183"/>
        <v>0.24034071168835003</v>
      </c>
      <c r="V75" s="319">
        <f t="shared" si="184"/>
        <v>0.62006226722946756</v>
      </c>
      <c r="W75" s="319">
        <f t="shared" si="184"/>
        <v>1.2716823535602371</v>
      </c>
      <c r="X75" s="44"/>
      <c r="Z75" s="45">
        <f>(N75-P77)^2</f>
        <v>5.7155030118903449E-5</v>
      </c>
      <c r="AA75" s="46">
        <f t="shared" si="185"/>
        <v>1.7022675314776778E-3</v>
      </c>
      <c r="AB75" s="2">
        <v>1</v>
      </c>
      <c r="AC75" s="28"/>
      <c r="AD75" s="28"/>
      <c r="AE75" s="36">
        <f t="shared" si="186"/>
        <v>887.04717140284424</v>
      </c>
      <c r="AF75" s="47"/>
      <c r="AG75" s="48">
        <f>AG77</f>
        <v>-9.5966968959625091E-3</v>
      </c>
      <c r="AH75" s="48" t="str">
        <f>AH77</f>
        <v>0</v>
      </c>
      <c r="AI75" s="46">
        <f t="shared" si="187"/>
        <v>3.357582111038046E-2</v>
      </c>
      <c r="AJ75" s="49">
        <f t="shared" si="188"/>
        <v>29.783337143490893</v>
      </c>
      <c r="AK75" s="50">
        <f>AJ75/AJ77</f>
        <v>0.12763265971455462</v>
      </c>
      <c r="AL75" s="51">
        <f t="shared" si="189"/>
        <v>-3.5381809800145203</v>
      </c>
      <c r="AM75" s="51">
        <f t="shared" si="190"/>
        <v>-0.11879733164111815</v>
      </c>
      <c r="AN75" s="538">
        <f t="shared" si="191"/>
        <v>0.88798774954627946</v>
      </c>
      <c r="AO75" s="41">
        <f t="shared" si="192"/>
        <v>3.357582111038046E-2</v>
      </c>
      <c r="AP75" s="538">
        <f t="shared" si="193"/>
        <v>0.18323706260028416</v>
      </c>
      <c r="AQ75" s="537">
        <f t="shared" si="194"/>
        <v>1.9599639845400536</v>
      </c>
      <c r="AR75" s="41">
        <f t="shared" si="195"/>
        <v>-0.47793537497058636</v>
      </c>
      <c r="AS75" s="41">
        <f t="shared" si="196"/>
        <v>0.24034731105543877</v>
      </c>
      <c r="AT75" s="53">
        <f t="shared" si="197"/>
        <v>0.62006226722946756</v>
      </c>
      <c r="AU75" s="53">
        <f t="shared" si="197"/>
        <v>1.2716907458866005</v>
      </c>
      <c r="AV75" s="17"/>
      <c r="AX75" s="54"/>
      <c r="AY75" s="54">
        <v>1</v>
      </c>
      <c r="AZ75" s="55"/>
      <c r="BA75" s="55"/>
      <c r="BC75" s="28"/>
      <c r="BD75" s="28"/>
      <c r="BE75" s="2"/>
      <c r="BF75" s="2"/>
      <c r="BG75" s="2"/>
      <c r="BH75" s="2"/>
      <c r="BI75" s="2"/>
      <c r="BJ75" s="2"/>
      <c r="BK75" s="2"/>
      <c r="BL75" s="2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</row>
    <row r="76" spans="1:75">
      <c r="A76" s="549" t="s">
        <v>297</v>
      </c>
      <c r="B76" s="561" t="s">
        <v>370</v>
      </c>
      <c r="C76" s="562">
        <v>120</v>
      </c>
      <c r="D76" s="563">
        <f t="shared" ref="D76" si="198">E76-C76</f>
        <v>1346</v>
      </c>
      <c r="E76" s="564">
        <v>1466</v>
      </c>
      <c r="F76" s="562">
        <v>123</v>
      </c>
      <c r="G76" s="563">
        <f t="shared" ref="G76" si="199">H76-F76</f>
        <v>1349</v>
      </c>
      <c r="H76" s="564">
        <v>1472</v>
      </c>
      <c r="I76" s="33"/>
      <c r="K76" s="34">
        <f t="shared" si="173"/>
        <v>0.97960270189332188</v>
      </c>
      <c r="L76" s="35">
        <f t="shared" si="174"/>
        <v>1.5101938567950245E-2</v>
      </c>
      <c r="M76" s="36">
        <f t="shared" si="175"/>
        <v>66.216664536182648</v>
      </c>
      <c r="N76" s="37">
        <f t="shared" si="176"/>
        <v>-2.0608195748146672E-2</v>
      </c>
      <c r="O76" s="37">
        <f t="shared" si="177"/>
        <v>-1.3646059845510139</v>
      </c>
      <c r="P76" s="37">
        <f t="shared" si="178"/>
        <v>-2.0608195748146672E-2</v>
      </c>
      <c r="Q76" s="38">
        <f t="shared" si="179"/>
        <v>0.97960270189332188</v>
      </c>
      <c r="R76" s="39">
        <f t="shared" si="180"/>
        <v>0.12288994494241685</v>
      </c>
      <c r="S76" s="320">
        <f t="shared" si="181"/>
        <v>1.9599639845400536</v>
      </c>
      <c r="T76" s="41">
        <f t="shared" si="182"/>
        <v>-0.2614680618973938</v>
      </c>
      <c r="U76" s="41">
        <f t="shared" si="183"/>
        <v>0.22025167040110047</v>
      </c>
      <c r="V76" s="319">
        <f t="shared" si="184"/>
        <v>0.76992046483047383</v>
      </c>
      <c r="W76" s="319">
        <f t="shared" si="184"/>
        <v>1.2463903706832786</v>
      </c>
      <c r="X76" s="44"/>
      <c r="Z76" s="45">
        <f>(N76-P77)^2</f>
        <v>8.2136231285847277E-3</v>
      </c>
      <c r="AA76" s="46">
        <f t="shared" si="185"/>
        <v>0.54387872733212594</v>
      </c>
      <c r="AB76" s="2">
        <v>1</v>
      </c>
      <c r="AC76" s="28"/>
      <c r="AD76" s="28"/>
      <c r="AE76" s="36">
        <f t="shared" si="186"/>
        <v>4384.6466622973485</v>
      </c>
      <c r="AF76" s="47"/>
      <c r="AG76" s="48">
        <f>AG77</f>
        <v>-9.5966968959625091E-3</v>
      </c>
      <c r="AH76" s="48" t="str">
        <f>AH77</f>
        <v>0</v>
      </c>
      <c r="AI76" s="46">
        <f t="shared" si="187"/>
        <v>1.5101938567950246E-2</v>
      </c>
      <c r="AJ76" s="49">
        <f t="shared" si="188"/>
        <v>66.216664536182648</v>
      </c>
      <c r="AK76" s="50">
        <f>AJ76/AJ77</f>
        <v>0.28376299712359337</v>
      </c>
      <c r="AL76" s="51">
        <f t="shared" si="189"/>
        <v>-1.3646059845510139</v>
      </c>
      <c r="AM76" s="51">
        <f t="shared" si="190"/>
        <v>-2.0608195748146672E-2</v>
      </c>
      <c r="AN76" s="538">
        <f t="shared" si="191"/>
        <v>0.97960270189332188</v>
      </c>
      <c r="AO76" s="41">
        <f t="shared" si="192"/>
        <v>1.5101938567950246E-2</v>
      </c>
      <c r="AP76" s="538">
        <f t="shared" si="193"/>
        <v>0.12288994494241685</v>
      </c>
      <c r="AQ76" s="537">
        <f t="shared" si="194"/>
        <v>1.9599639845400536</v>
      </c>
      <c r="AR76" s="41">
        <f t="shared" si="195"/>
        <v>-0.2614680618973938</v>
      </c>
      <c r="AS76" s="41">
        <f t="shared" si="196"/>
        <v>0.22025609633899035</v>
      </c>
      <c r="AT76" s="53">
        <f t="shared" si="197"/>
        <v>0.76992046483047383</v>
      </c>
      <c r="AU76" s="53">
        <f t="shared" si="197"/>
        <v>1.2463958871418535</v>
      </c>
      <c r="AV76" s="17"/>
      <c r="AX76" s="54"/>
      <c r="AY76" s="54">
        <v>1</v>
      </c>
      <c r="AZ76" s="55"/>
      <c r="BA76" s="55"/>
      <c r="BC76" s="28"/>
      <c r="BD76" s="28"/>
      <c r="BE76" s="2"/>
      <c r="BF76" s="2"/>
      <c r="BG76" s="2"/>
      <c r="BH76" s="2"/>
      <c r="BI76" s="2"/>
      <c r="BJ76" s="2"/>
      <c r="BK76" s="2"/>
      <c r="BL76" s="2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</row>
    <row r="77" spans="1:75">
      <c r="A77" s="424"/>
      <c r="B77" s="56">
        <f>COUNT(D73:D76)</f>
        <v>4</v>
      </c>
      <c r="C77" s="57">
        <f t="shared" ref="C77:H77" si="200">SUM(C73:C76)</f>
        <v>396</v>
      </c>
      <c r="D77" s="57">
        <f t="shared" si="200"/>
        <v>3680</v>
      </c>
      <c r="E77" s="57">
        <f t="shared" si="200"/>
        <v>4076</v>
      </c>
      <c r="F77" s="57">
        <f t="shared" si="200"/>
        <v>442</v>
      </c>
      <c r="G77" s="57">
        <f t="shared" si="200"/>
        <v>3637</v>
      </c>
      <c r="H77" s="57">
        <f t="shared" si="200"/>
        <v>4079</v>
      </c>
      <c r="I77" s="58"/>
      <c r="K77" s="59"/>
      <c r="L77" s="113"/>
      <c r="M77" s="61">
        <f>SUM(M73:M76)</f>
        <v>233.35200574915655</v>
      </c>
      <c r="N77" s="62"/>
      <c r="O77" s="63">
        <f>SUM(O73:O76)</f>
        <v>-25.957432381274817</v>
      </c>
      <c r="P77" s="64">
        <f>O77/M77</f>
        <v>-0.11123723705712626</v>
      </c>
      <c r="Q77" s="497">
        <f>EXP(P77)</f>
        <v>0.89472646147614776</v>
      </c>
      <c r="R77" s="497">
        <f>SQRT(1/M77)</f>
        <v>6.5462747806809551E-2</v>
      </c>
      <c r="S77" s="520">
        <f t="shared" si="181"/>
        <v>1.9599639845400536</v>
      </c>
      <c r="T77" s="499">
        <f>P77-(R77*S77)</f>
        <v>-0.23954186508750136</v>
      </c>
      <c r="U77" s="499">
        <f>P77+(R77*S77)</f>
        <v>1.706739097324883E-2</v>
      </c>
      <c r="V77" s="497">
        <f>EXP(T77)</f>
        <v>0.78698832531717633</v>
      </c>
      <c r="W77" s="497">
        <f>EXP(U77)</f>
        <v>1.0172138710482044</v>
      </c>
      <c r="X77" s="66"/>
      <c r="Y77" s="66"/>
      <c r="Z77" s="67"/>
      <c r="AA77" s="68">
        <f>SUM(AA73:AA76)</f>
        <v>1.3697784985168506</v>
      </c>
      <c r="AB77" s="69">
        <f>SUM(AB73:AB76)</f>
        <v>4</v>
      </c>
      <c r="AC77" s="70">
        <f>AA77-(AB77-1)</f>
        <v>-1.6302215014831494</v>
      </c>
      <c r="AD77" s="61">
        <f>M77</f>
        <v>233.35200574915655</v>
      </c>
      <c r="AE77" s="61">
        <f>SUM(AE73:AE76)</f>
        <v>14812.90931070369</v>
      </c>
      <c r="AF77" s="71">
        <f>AE77/AD77</f>
        <v>63.478817176428883</v>
      </c>
      <c r="AG77" s="72">
        <f>AC77/(AD77-AF77)</f>
        <v>-9.5966968959625091E-3</v>
      </c>
      <c r="AH77" s="72" t="str">
        <f>IF(AA77&lt;AB77-1,"0",AG77)</f>
        <v>0</v>
      </c>
      <c r="AI77" s="67"/>
      <c r="AJ77" s="61">
        <f>SUM(AJ73:AJ76)</f>
        <v>233.35200574915655</v>
      </c>
      <c r="AK77" s="73">
        <f>SUM(AK73:AK76)</f>
        <v>1.0000000000000002</v>
      </c>
      <c r="AL77" s="70">
        <f>SUM(AL73:AL76)</f>
        <v>-25.957432381274817</v>
      </c>
      <c r="AM77" s="70">
        <f>AL77/AJ77</f>
        <v>-0.11123723705712626</v>
      </c>
      <c r="AN77" s="539">
        <f>EXP(AM77)</f>
        <v>0.89472646147614776</v>
      </c>
      <c r="AO77" s="65">
        <f>1/AJ77</f>
        <v>4.2853713504179486E-3</v>
      </c>
      <c r="AP77" s="540">
        <f>SQRT(AO77)</f>
        <v>6.5462747806809551E-2</v>
      </c>
      <c r="AQ77" s="537">
        <f t="shared" si="194"/>
        <v>1.9599639845400536</v>
      </c>
      <c r="AR77" s="65">
        <f>AM77-(AQ77*AP77)</f>
        <v>-0.23954186508750136</v>
      </c>
      <c r="AS77" s="65">
        <f>AM77+(1.96*AP77)</f>
        <v>1.706974864422045E-2</v>
      </c>
      <c r="AT77" s="519">
        <f>EXP(AR77)</f>
        <v>0.78698832531717633</v>
      </c>
      <c r="AU77" s="503">
        <f>EXP(AS77)</f>
        <v>1.0172162693066473</v>
      </c>
      <c r="AV77" s="76"/>
      <c r="AW77" s="77"/>
      <c r="AX77" s="78">
        <f>AA77</f>
        <v>1.3697784985168506</v>
      </c>
      <c r="AY77" s="56">
        <f>SUM(AY73:AY76)</f>
        <v>4</v>
      </c>
      <c r="AZ77" s="79">
        <f>(AX77-(AY77-1))/AX77</f>
        <v>-1.1901351227576558</v>
      </c>
      <c r="BA77" s="80" t="str">
        <f>IF(AA77&lt;AB77-1,"0%",AZ77)</f>
        <v>0%</v>
      </c>
      <c r="BB77" s="77"/>
      <c r="BC77" s="63">
        <f>AX77/(AY77-1)</f>
        <v>0.45659283283895019</v>
      </c>
      <c r="BD77" s="81">
        <f>LN(BC77)</f>
        <v>-0.78396324181439014</v>
      </c>
      <c r="BE77" s="63">
        <f>LN(AX77)</f>
        <v>0.31464904685371958</v>
      </c>
      <c r="BF77" s="63">
        <f>LN(AY77-1)</f>
        <v>1.0986122886681098</v>
      </c>
      <c r="BG77" s="63">
        <f>SQRT(2*AX77)</f>
        <v>1.6551607163758151</v>
      </c>
      <c r="BH77" s="63">
        <f>SQRT(2*AY77-3)</f>
        <v>2.2360679774997898</v>
      </c>
      <c r="BI77" s="63">
        <f>2*(AY77-2)</f>
        <v>4</v>
      </c>
      <c r="BJ77" s="63">
        <f>3*(AY77-2)^2</f>
        <v>12</v>
      </c>
      <c r="BK77" s="63">
        <f>1/BI77</f>
        <v>0.25</v>
      </c>
      <c r="BL77" s="82">
        <f>1/BJ77</f>
        <v>8.3333333333333329E-2</v>
      </c>
      <c r="BM77" s="82">
        <f>SQRT(BK77*(1-BL77))</f>
        <v>0.47871355387816905</v>
      </c>
      <c r="BN77" s="83">
        <f>0.5*(BE77-BF77)/(BG77-BH77)</f>
        <v>0.6747748687953482</v>
      </c>
      <c r="BO77" s="83">
        <f>IF(AA77&lt;=AB77,BM77,BN77)</f>
        <v>0.47871355387816905</v>
      </c>
      <c r="BP77" s="70">
        <f>BD77-(1.96*BO77)</f>
        <v>-1.7222418074156014</v>
      </c>
      <c r="BQ77" s="70">
        <f>BD77+(1.96*BO77)</f>
        <v>0.15431532378682122</v>
      </c>
      <c r="BR77" s="70"/>
      <c r="BS77" s="81">
        <f>EXP(BP77)</f>
        <v>0.17866516572357793</v>
      </c>
      <c r="BT77" s="81">
        <f>EXP(BQ77)</f>
        <v>1.1668587670998107</v>
      </c>
      <c r="BU77" s="84" t="str">
        <f>BA77</f>
        <v>0%</v>
      </c>
      <c r="BV77" s="84">
        <f>(BS77-1)/BS77</f>
        <v>-4.5970619451759918</v>
      </c>
      <c r="BW77" s="84">
        <f>(BT77-1)/BT77</f>
        <v>0.14299825463413429</v>
      </c>
    </row>
    <row r="78" spans="1:75" ht="13.5" thickBot="1">
      <c r="A78" s="424"/>
      <c r="C78" s="545"/>
      <c r="D78" s="85"/>
      <c r="E78" s="85"/>
      <c r="F78" s="85"/>
      <c r="G78" s="85"/>
      <c r="H78" s="85"/>
      <c r="I78" s="86"/>
      <c r="R78" s="87"/>
      <c r="S78" s="87"/>
      <c r="T78" s="87"/>
      <c r="U78" s="87"/>
      <c r="V78" s="87"/>
      <c r="W78" s="87"/>
      <c r="X78" s="87"/>
      <c r="AB78" s="88"/>
      <c r="AC78" s="89"/>
      <c r="AD78" s="90"/>
      <c r="AE78" s="89"/>
      <c r="AF78" s="91"/>
      <c r="AG78" s="91"/>
      <c r="AH78" s="91"/>
      <c r="AI78" s="91"/>
      <c r="AT78" s="92"/>
      <c r="AU78" s="92"/>
      <c r="AV78" s="92"/>
      <c r="AX78" s="5" t="s">
        <v>56</v>
      </c>
      <c r="BG78" s="11"/>
      <c r="BN78" s="89" t="s">
        <v>57</v>
      </c>
      <c r="BT78" s="93" t="s">
        <v>58</v>
      </c>
      <c r="BU78" s="504" t="str">
        <f>BU77</f>
        <v>0%</v>
      </c>
      <c r="BV78" s="504" t="str">
        <f>IF(BV77&lt;0,"0%",BV77)</f>
        <v>0%</v>
      </c>
      <c r="BW78" s="505">
        <f>IF(BW77&lt;0,"0%",BW77)</f>
        <v>0.14299825463413429</v>
      </c>
    </row>
    <row r="79" spans="1:75" s="15" customFormat="1" ht="26.5" thickBot="1">
      <c r="A79" s="569"/>
      <c r="D79" s="85"/>
      <c r="E79" s="85"/>
      <c r="F79" s="85"/>
      <c r="G79" s="571"/>
      <c r="H79" s="571"/>
      <c r="I79" s="573"/>
      <c r="J79" s="570"/>
      <c r="K79" s="570"/>
      <c r="R79" s="574"/>
      <c r="S79" s="574"/>
      <c r="T79" s="574"/>
      <c r="U79" s="574"/>
      <c r="V79" s="574"/>
      <c r="W79" s="574"/>
      <c r="X79" s="574"/>
      <c r="AI79" s="575"/>
      <c r="AJ79" s="576"/>
      <c r="AK79" s="576"/>
      <c r="AL79" s="577"/>
      <c r="AM79" s="578"/>
      <c r="AO79" s="100" t="s">
        <v>59</v>
      </c>
      <c r="AP79" s="101">
        <f>TINV((1-$H$1),(AB77-2))</f>
        <v>4.3026527297494619</v>
      </c>
      <c r="AR79" s="579" t="s">
        <v>60</v>
      </c>
      <c r="AS79" s="102">
        <f>$H$1</f>
        <v>0.95</v>
      </c>
      <c r="AT79" s="507">
        <f>EXP(AM77-AP79*SQRT((1/AD77)+AH77))</f>
        <v>0.67509577613483507</v>
      </c>
      <c r="AU79" s="507">
        <f>EXP(AM77+AP79*SQRT((1/AD77)+AH77))</f>
        <v>1.1858101756301609</v>
      </c>
      <c r="AV79" s="17"/>
      <c r="AX79" s="103">
        <f>_xlfn.CHISQ.DIST.RT(AX77,AY77-1)</f>
        <v>0.71263385510492272</v>
      </c>
      <c r="AY79" s="104" t="str">
        <f>IF(AX79&lt;0.05,"heterogeneidad","homogeneidad")</f>
        <v>homogeneidad</v>
      </c>
      <c r="BF79" s="580"/>
      <c r="BG79" s="575"/>
      <c r="BH79" s="575"/>
      <c r="BJ79" s="581"/>
      <c r="BL79" s="575"/>
      <c r="BM79" s="582"/>
      <c r="BQ79" s="575"/>
    </row>
    <row r="80" spans="1:75" ht="14.5">
      <c r="A80" s="424"/>
      <c r="B80" s="5"/>
      <c r="C80" s="94"/>
      <c r="D80" s="85"/>
      <c r="E80" s="85"/>
      <c r="F80" s="85"/>
      <c r="G80" s="94"/>
      <c r="H80" s="94"/>
      <c r="I80" s="95"/>
      <c r="J80" s="5"/>
      <c r="K80" s="5"/>
      <c r="R80" s="96"/>
      <c r="S80" s="96"/>
      <c r="T80" s="96"/>
      <c r="U80" s="96"/>
      <c r="V80" s="96"/>
      <c r="W80" s="96"/>
      <c r="X80" s="96"/>
      <c r="AF80" s="1"/>
      <c r="AI80" s="11"/>
      <c r="AJ80" s="97"/>
      <c r="AK80" s="97"/>
      <c r="AL80" s="98"/>
      <c r="AM80" s="99"/>
      <c r="AN80" s="107"/>
      <c r="AO80" s="108"/>
      <c r="AP80" s="14"/>
      <c r="AS80" s="109"/>
      <c r="AT80" s="17"/>
      <c r="AU80" s="17"/>
      <c r="AV80" s="17"/>
      <c r="BF80" s="105"/>
      <c r="BG80" s="11"/>
      <c r="BH80" s="11"/>
      <c r="BJ80" s="44"/>
      <c r="BL80" s="11"/>
      <c r="BM80" s="110"/>
      <c r="BQ80" s="11"/>
    </row>
    <row r="81" spans="1:75" ht="13" customHeight="1">
      <c r="A81" s="424"/>
      <c r="C81" s="85"/>
      <c r="D81" s="85"/>
      <c r="E81" s="85"/>
      <c r="F81" s="85"/>
      <c r="G81" s="85"/>
      <c r="H81" s="85"/>
      <c r="I81" s="86"/>
      <c r="J81" s="619" t="s">
        <v>4</v>
      </c>
      <c r="K81" s="620"/>
      <c r="L81" s="620"/>
      <c r="M81" s="620"/>
      <c r="N81" s="620"/>
      <c r="O81" s="620"/>
      <c r="P81" s="620"/>
      <c r="Q81" s="620"/>
      <c r="R81" s="620"/>
      <c r="S81" s="620"/>
      <c r="T81" s="620"/>
      <c r="U81" s="620"/>
      <c r="V81" s="620"/>
      <c r="W81" s="621"/>
      <c r="X81" s="12"/>
      <c r="Y81" s="619" t="s">
        <v>5</v>
      </c>
      <c r="Z81" s="620"/>
      <c r="AA81" s="620"/>
      <c r="AB81" s="620"/>
      <c r="AC81" s="620"/>
      <c r="AD81" s="620"/>
      <c r="AE81" s="620"/>
      <c r="AF81" s="620"/>
      <c r="AG81" s="620"/>
      <c r="AH81" s="620"/>
      <c r="AI81" s="620"/>
      <c r="AJ81" s="620"/>
      <c r="AK81" s="620"/>
      <c r="AL81" s="620"/>
      <c r="AM81" s="620"/>
      <c r="AN81" s="620"/>
      <c r="AO81" s="620"/>
      <c r="AP81" s="620"/>
      <c r="AQ81" s="620"/>
      <c r="AR81" s="620"/>
      <c r="AS81" s="620"/>
      <c r="AT81" s="620"/>
      <c r="AU81" s="621"/>
      <c r="AV81" s="12"/>
      <c r="AW81" s="619" t="s">
        <v>229</v>
      </c>
      <c r="AX81" s="620"/>
      <c r="AY81" s="620"/>
      <c r="AZ81" s="620"/>
      <c r="BA81" s="620"/>
      <c r="BB81" s="620"/>
      <c r="BC81" s="620"/>
      <c r="BD81" s="620"/>
      <c r="BE81" s="620"/>
      <c r="BF81" s="620"/>
      <c r="BG81" s="620"/>
      <c r="BH81" s="620"/>
      <c r="BI81" s="620"/>
      <c r="BJ81" s="620"/>
      <c r="BK81" s="620"/>
      <c r="BL81" s="620"/>
      <c r="BM81" s="620"/>
      <c r="BN81" s="620"/>
      <c r="BO81" s="620"/>
      <c r="BP81" s="620"/>
      <c r="BQ81" s="620"/>
      <c r="BR81" s="620"/>
      <c r="BS81" s="620"/>
      <c r="BT81" s="620"/>
      <c r="BU81" s="620"/>
      <c r="BV81" s="620"/>
      <c r="BW81" s="621"/>
    </row>
    <row r="82" spans="1:75">
      <c r="A82" s="548" t="s">
        <v>478</v>
      </c>
      <c r="B82" s="13" t="s">
        <v>6</v>
      </c>
      <c r="C82" s="618" t="s">
        <v>7</v>
      </c>
      <c r="D82" s="618"/>
      <c r="E82" s="618"/>
      <c r="F82" s="618" t="s">
        <v>8</v>
      </c>
      <c r="G82" s="618"/>
      <c r="H82" s="618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</row>
    <row r="83" spans="1:75" ht="60">
      <c r="A83" s="568" t="s">
        <v>372</v>
      </c>
      <c r="B83" s="559" t="s">
        <v>383</v>
      </c>
      <c r="C83" s="560" t="s">
        <v>9</v>
      </c>
      <c r="D83" s="560" t="s">
        <v>10</v>
      </c>
      <c r="E83" s="560" t="s">
        <v>11</v>
      </c>
      <c r="F83" s="560" t="s">
        <v>9</v>
      </c>
      <c r="G83" s="560" t="s">
        <v>10</v>
      </c>
      <c r="H83" s="560" t="s">
        <v>11</v>
      </c>
      <c r="I83" s="17"/>
      <c r="K83" s="18" t="s">
        <v>12</v>
      </c>
      <c r="L83" s="18" t="s">
        <v>13</v>
      </c>
      <c r="M83" s="18" t="s">
        <v>14</v>
      </c>
      <c r="N83" s="19" t="s">
        <v>15</v>
      </c>
      <c r="O83" s="19" t="s">
        <v>16</v>
      </c>
      <c r="P83" s="19" t="s">
        <v>17</v>
      </c>
      <c r="Q83" s="495" t="s">
        <v>18</v>
      </c>
      <c r="R83" s="495" t="s">
        <v>19</v>
      </c>
      <c r="S83" s="496" t="s">
        <v>3</v>
      </c>
      <c r="T83" s="495" t="s">
        <v>20</v>
      </c>
      <c r="U83" s="495" t="s">
        <v>21</v>
      </c>
      <c r="V83" s="495" t="s">
        <v>22</v>
      </c>
      <c r="W83" s="495" t="s">
        <v>22</v>
      </c>
      <c r="X83" s="20"/>
      <c r="Y83" s="21"/>
      <c r="Z83" s="22" t="s">
        <v>23</v>
      </c>
      <c r="AA83" s="19" t="s">
        <v>24</v>
      </c>
      <c r="AB83" s="3" t="s">
        <v>25</v>
      </c>
      <c r="AC83" s="3" t="s">
        <v>26</v>
      </c>
      <c r="AD83" s="3" t="s">
        <v>27</v>
      </c>
      <c r="AE83" s="19" t="s">
        <v>28</v>
      </c>
      <c r="AF83" s="19" t="s">
        <v>29</v>
      </c>
      <c r="AG83" s="23" t="s">
        <v>30</v>
      </c>
      <c r="AH83" s="23" t="s">
        <v>31</v>
      </c>
      <c r="AI83" s="3" t="s">
        <v>32</v>
      </c>
      <c r="AJ83" s="19" t="s">
        <v>33</v>
      </c>
      <c r="AK83" s="19" t="s">
        <v>34</v>
      </c>
      <c r="AL83" s="19" t="s">
        <v>35</v>
      </c>
      <c r="AM83" s="3" t="s">
        <v>36</v>
      </c>
      <c r="AN83" s="496" t="s">
        <v>37</v>
      </c>
      <c r="AO83" s="19" t="s">
        <v>38</v>
      </c>
      <c r="AP83" s="19" t="s">
        <v>39</v>
      </c>
      <c r="AQ83" s="3" t="s">
        <v>3</v>
      </c>
      <c r="AR83" s="19" t="s">
        <v>40</v>
      </c>
      <c r="AS83" s="19" t="s">
        <v>41</v>
      </c>
      <c r="AT83" s="495" t="s">
        <v>22</v>
      </c>
      <c r="AU83" s="495" t="s">
        <v>22</v>
      </c>
      <c r="AV83" s="20"/>
      <c r="AX83" s="24" t="s">
        <v>42</v>
      </c>
      <c r="AY83" s="24" t="s">
        <v>25</v>
      </c>
      <c r="AZ83" s="25" t="s">
        <v>61</v>
      </c>
      <c r="BA83" s="26" t="s">
        <v>62</v>
      </c>
      <c r="BC83" s="3" t="s">
        <v>63</v>
      </c>
      <c r="BD83" s="3" t="s">
        <v>64</v>
      </c>
      <c r="BE83" s="3" t="s">
        <v>43</v>
      </c>
      <c r="BF83" s="3" t="s">
        <v>44</v>
      </c>
      <c r="BG83" s="3" t="s">
        <v>45</v>
      </c>
      <c r="BH83" s="3" t="s">
        <v>46</v>
      </c>
      <c r="BI83" s="3" t="s">
        <v>47</v>
      </c>
      <c r="BJ83" s="3" t="s">
        <v>65</v>
      </c>
      <c r="BK83" s="3" t="s">
        <v>48</v>
      </c>
      <c r="BL83" s="3" t="s">
        <v>49</v>
      </c>
      <c r="BM83" s="27" t="s">
        <v>66</v>
      </c>
      <c r="BN83" s="27" t="s">
        <v>67</v>
      </c>
      <c r="BO83" s="27" t="s">
        <v>68</v>
      </c>
      <c r="BP83" s="27" t="s">
        <v>69</v>
      </c>
      <c r="BQ83" s="27" t="s">
        <v>70</v>
      </c>
      <c r="BR83" s="28"/>
      <c r="BS83" s="19" t="s">
        <v>71</v>
      </c>
      <c r="BT83" s="19" t="s">
        <v>72</v>
      </c>
      <c r="BU83" s="495" t="s">
        <v>226</v>
      </c>
      <c r="BV83" s="495" t="s">
        <v>227</v>
      </c>
      <c r="BW83" s="495" t="s">
        <v>228</v>
      </c>
    </row>
    <row r="84" spans="1:75">
      <c r="A84" s="424"/>
      <c r="B84" s="561" t="s">
        <v>231</v>
      </c>
      <c r="C84" s="562">
        <v>93</v>
      </c>
      <c r="D84" s="563">
        <f>E84-C84</f>
        <v>1205</v>
      </c>
      <c r="E84" s="564">
        <v>1298</v>
      </c>
      <c r="F84" s="562">
        <v>146</v>
      </c>
      <c r="G84" s="563">
        <f>H84-F84</f>
        <v>1161</v>
      </c>
      <c r="H84" s="564">
        <v>1307</v>
      </c>
      <c r="I84" s="33"/>
      <c r="K84" s="34">
        <f>(C84/E84)/(F84/H84)</f>
        <v>0.64140300145640283</v>
      </c>
      <c r="L84" s="35">
        <f>(D84/(C84*E84)+(G84/(F84*H84)))</f>
        <v>1.606647627479639E-2</v>
      </c>
      <c r="M84" s="36">
        <f>1/L84</f>
        <v>62.241401468267689</v>
      </c>
      <c r="N84" s="37">
        <f>LN(K84)</f>
        <v>-0.44409731219489396</v>
      </c>
      <c r="O84" s="37">
        <f>M84*N84</f>
        <v>-27.641239099301007</v>
      </c>
      <c r="P84" s="37">
        <f>LN(K84)</f>
        <v>-0.44409731219489396</v>
      </c>
      <c r="Q84" s="38">
        <f>K84</f>
        <v>0.64140300145640283</v>
      </c>
      <c r="R84" s="39">
        <f>SQRT(1/M84)</f>
        <v>0.12675360458305077</v>
      </c>
      <c r="S84" s="320">
        <f>$H$2</f>
        <v>1.9599639845400536</v>
      </c>
      <c r="T84" s="41">
        <f>P84-(R84*S84)</f>
        <v>-0.69252981208830455</v>
      </c>
      <c r="U84" s="41">
        <f>P84+(R84*S84)</f>
        <v>-0.19566481230148339</v>
      </c>
      <c r="V84" s="319">
        <f>EXP(T84)</f>
        <v>0.50030877954138975</v>
      </c>
      <c r="W84" s="319">
        <f>EXP(U84)</f>
        <v>0.82228780924930389</v>
      </c>
      <c r="X84" s="44"/>
      <c r="Z84" s="45">
        <f>(N84-P87)^2</f>
        <v>1.202861354560741E-2</v>
      </c>
      <c r="AA84" s="46">
        <f>M84*Z84</f>
        <v>0.74867776479879367</v>
      </c>
      <c r="AB84" s="2">
        <v>1</v>
      </c>
      <c r="AC84" s="28"/>
      <c r="AD84" s="28"/>
      <c r="AE84" s="36">
        <f>M84^2</f>
        <v>3873.992056734075</v>
      </c>
      <c r="AF84" s="47"/>
      <c r="AG84" s="48">
        <f>AG87</f>
        <v>-6.9207507504801032E-3</v>
      </c>
      <c r="AH84" s="48" t="str">
        <f>AH87</f>
        <v>0</v>
      </c>
      <c r="AI84" s="46">
        <f>1/M84</f>
        <v>1.606647627479639E-2</v>
      </c>
      <c r="AJ84" s="49">
        <f>1/(AH84+AI84)</f>
        <v>62.241401468267689</v>
      </c>
      <c r="AK84" s="50">
        <f>AJ84/AJ87</f>
        <v>0.31785730319807431</v>
      </c>
      <c r="AL84" s="51">
        <f>AJ84*N84</f>
        <v>-27.641239099301007</v>
      </c>
      <c r="AM84" s="51">
        <f>AL84/AJ84</f>
        <v>-0.44409731219489396</v>
      </c>
      <c r="AN84" s="319">
        <f>EXP(AM84)</f>
        <v>0.64140300145640283</v>
      </c>
      <c r="AO84" s="38">
        <f>1/AJ84</f>
        <v>1.606647627479639E-2</v>
      </c>
      <c r="AP84" s="319">
        <f>SQRT(AO84)</f>
        <v>0.12675360458305077</v>
      </c>
      <c r="AQ84" s="320">
        <f>$H$2</f>
        <v>1.9599639845400536</v>
      </c>
      <c r="AR84" s="41">
        <f>AM84-(AQ84*AP84)</f>
        <v>-0.69252981208830455</v>
      </c>
      <c r="AS84" s="41">
        <f>AM84+(1.96*AP84)</f>
        <v>-0.19566024721211445</v>
      </c>
      <c r="AT84" s="53">
        <f>EXP(AR84)</f>
        <v>0.50030877954138975</v>
      </c>
      <c r="AU84" s="53">
        <f>EXP(AS84)</f>
        <v>0.82229156307520834</v>
      </c>
      <c r="AV84" s="17"/>
      <c r="AX84" s="54"/>
      <c r="AY84" s="54">
        <v>1</v>
      </c>
      <c r="AZ84" s="55"/>
      <c r="BA84" s="55"/>
      <c r="BC84" s="28"/>
      <c r="BD84" s="28"/>
      <c r="BE84" s="2"/>
      <c r="BF84" s="2"/>
      <c r="BG84" s="2"/>
      <c r="BH84" s="2"/>
      <c r="BI84" s="2"/>
      <c r="BJ84" s="2"/>
      <c r="BK84" s="2"/>
      <c r="BL84" s="2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</row>
    <row r="85" spans="1:75">
      <c r="A85" s="424"/>
      <c r="B85" s="561" t="s">
        <v>230</v>
      </c>
      <c r="C85" s="562">
        <v>106</v>
      </c>
      <c r="D85" s="563">
        <f t="shared" ref="D85" si="201">E85-C85</f>
        <v>830</v>
      </c>
      <c r="E85" s="564">
        <v>936</v>
      </c>
      <c r="F85" s="562">
        <v>141</v>
      </c>
      <c r="G85" s="563">
        <f t="shared" ref="G85" si="202">H85-F85</f>
        <v>797</v>
      </c>
      <c r="H85" s="564">
        <v>938</v>
      </c>
      <c r="I85" s="33"/>
      <c r="K85" s="34">
        <f t="shared" ref="K85:K86" si="203">(C85/E85)/(F85/H85)</f>
        <v>0.75337940231557243</v>
      </c>
      <c r="L85" s="35">
        <f t="shared" ref="L85:L86" si="204">(D85/(C85*E85)+(G85/(F85*H85)))</f>
        <v>1.4391686696311703E-2</v>
      </c>
      <c r="M85" s="36">
        <f t="shared" ref="M85:M86" si="205">1/L85</f>
        <v>69.484558766574565</v>
      </c>
      <c r="N85" s="37">
        <f t="shared" ref="N85:N86" si="206">LN(K85)</f>
        <v>-0.28318632373746866</v>
      </c>
      <c r="O85" s="37">
        <f t="shared" ref="O85:O86" si="207">M85*N85</f>
        <v>-19.677076753626352</v>
      </c>
      <c r="P85" s="37">
        <f t="shared" ref="P85:P86" si="208">LN(K85)</f>
        <v>-0.28318632373746866</v>
      </c>
      <c r="Q85" s="38">
        <f t="shared" ref="Q85:Q86" si="209">K85</f>
        <v>0.75337940231557243</v>
      </c>
      <c r="R85" s="39">
        <f t="shared" ref="R85:R86" si="210">SQRT(1/M85)</f>
        <v>0.11996535623383821</v>
      </c>
      <c r="S85" s="320">
        <f t="shared" ref="S85:S87" si="211">$H$2</f>
        <v>1.9599639845400536</v>
      </c>
      <c r="T85" s="41">
        <f t="shared" ref="T85:T86" si="212">P85-(R85*S85)</f>
        <v>-0.51831410134830913</v>
      </c>
      <c r="U85" s="41">
        <f t="shared" ref="U85:U86" si="213">P85+(R85*S85)</f>
        <v>-4.805854612662816E-2</v>
      </c>
      <c r="V85" s="319">
        <f t="shared" ref="V85:W86" si="214">EXP(T85)</f>
        <v>0.59552369472470046</v>
      </c>
      <c r="W85" s="319">
        <f t="shared" si="214"/>
        <v>0.95307798641958508</v>
      </c>
      <c r="X85" s="44"/>
      <c r="Z85" s="45">
        <f>(N85-P87)^2</f>
        <v>2.6251228130048138E-3</v>
      </c>
      <c r="AA85" s="46">
        <f t="shared" ref="AA85:AA86" si="215">M85*Z85</f>
        <v>0.18240550036970851</v>
      </c>
      <c r="AB85" s="2">
        <v>1</v>
      </c>
      <c r="AC85" s="28"/>
      <c r="AD85" s="28"/>
      <c r="AE85" s="36">
        <f t="shared" ref="AE85:AE86" si="216">M85^2</f>
        <v>4828.1039069855542</v>
      </c>
      <c r="AF85" s="47"/>
      <c r="AG85" s="48">
        <f>AG87</f>
        <v>-6.9207507504801032E-3</v>
      </c>
      <c r="AH85" s="48" t="str">
        <f>AH87</f>
        <v>0</v>
      </c>
      <c r="AI85" s="46">
        <f t="shared" ref="AI85:AI86" si="217">1/M85</f>
        <v>1.4391686696311705E-2</v>
      </c>
      <c r="AJ85" s="49">
        <f t="shared" ref="AJ85:AJ86" si="218">1/(AH85+AI85)</f>
        <v>69.484558766574565</v>
      </c>
      <c r="AK85" s="50">
        <f>AJ85/AJ87</f>
        <v>0.35484699801805747</v>
      </c>
      <c r="AL85" s="51">
        <f t="shared" ref="AL85:AL86" si="219">AJ85*N85</f>
        <v>-19.677076753626352</v>
      </c>
      <c r="AM85" s="51">
        <f t="shared" ref="AM85:AM86" si="220">AL85/AJ85</f>
        <v>-0.28318632373746866</v>
      </c>
      <c r="AN85" s="319">
        <f t="shared" ref="AN85:AN86" si="221">EXP(AM85)</f>
        <v>0.75337940231557243</v>
      </c>
      <c r="AO85" s="38">
        <f t="shared" ref="AO85:AO86" si="222">1/AJ85</f>
        <v>1.4391686696311705E-2</v>
      </c>
      <c r="AP85" s="319">
        <f t="shared" ref="AP85:AP86" si="223">SQRT(AO85)</f>
        <v>0.11996535623383821</v>
      </c>
      <c r="AQ85" s="320">
        <f t="shared" ref="AQ85:AQ87" si="224">$H$2</f>
        <v>1.9599639845400536</v>
      </c>
      <c r="AR85" s="41">
        <f t="shared" ref="AR85:AR86" si="225">AM85-(AQ85*AP85)</f>
        <v>-0.51831410134830913</v>
      </c>
      <c r="AS85" s="41">
        <f t="shared" ref="AS85:AS86" si="226">AM85+(1.96*AP85)</f>
        <v>-4.8054225519145788E-2</v>
      </c>
      <c r="AT85" s="53">
        <f t="shared" ref="AT85:AU86" si="227">EXP(AR85)</f>
        <v>0.59552369472470046</v>
      </c>
      <c r="AU85" s="53">
        <f t="shared" si="227"/>
        <v>0.95308210430436036</v>
      </c>
      <c r="AV85" s="17"/>
      <c r="AX85" s="54"/>
      <c r="AY85" s="54">
        <v>1</v>
      </c>
      <c r="AZ85" s="55"/>
      <c r="BA85" s="55"/>
      <c r="BC85" s="28"/>
      <c r="BD85" s="28"/>
      <c r="BE85" s="2"/>
      <c r="BF85" s="2"/>
      <c r="BG85" s="2"/>
      <c r="BH85" s="2"/>
      <c r="BI85" s="2"/>
      <c r="BJ85" s="2"/>
      <c r="BK85" s="2"/>
      <c r="BL85" s="2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</row>
    <row r="86" spans="1:75">
      <c r="A86" s="550" t="s">
        <v>297</v>
      </c>
      <c r="B86" s="561" t="s">
        <v>370</v>
      </c>
      <c r="C86" s="562">
        <v>104</v>
      </c>
      <c r="D86" s="563">
        <f t="shared" ref="D86" si="228">E86-C86</f>
        <v>1427</v>
      </c>
      <c r="E86" s="564">
        <v>1531</v>
      </c>
      <c r="F86" s="562">
        <v>137</v>
      </c>
      <c r="G86" s="563">
        <f t="shared" ref="G86" si="229">H86-F86</f>
        <v>1382</v>
      </c>
      <c r="H86" s="564">
        <v>1519</v>
      </c>
      <c r="I86" s="33"/>
      <c r="K86" s="34">
        <f t="shared" si="203"/>
        <v>0.75317406208432069</v>
      </c>
      <c r="L86" s="35">
        <f t="shared" si="204"/>
        <v>1.5603158976968293E-2</v>
      </c>
      <c r="M86" s="36">
        <f t="shared" si="205"/>
        <v>64.089586056009082</v>
      </c>
      <c r="N86" s="37">
        <f t="shared" si="206"/>
        <v>-0.28345891974866305</v>
      </c>
      <c r="O86" s="37">
        <f t="shared" si="207"/>
        <v>-18.166764830575314</v>
      </c>
      <c r="P86" s="37">
        <f t="shared" si="208"/>
        <v>-0.28345891974866305</v>
      </c>
      <c r="Q86" s="38">
        <f t="shared" si="209"/>
        <v>0.75317406208432069</v>
      </c>
      <c r="R86" s="39">
        <f t="shared" si="210"/>
        <v>0.12491260535657837</v>
      </c>
      <c r="S86" s="320">
        <f t="shared" si="211"/>
        <v>1.9599639845400536</v>
      </c>
      <c r="T86" s="41">
        <f t="shared" si="212"/>
        <v>-0.52828312746262163</v>
      </c>
      <c r="U86" s="41">
        <f t="shared" si="213"/>
        <v>-3.8634712034704449E-2</v>
      </c>
      <c r="V86" s="319">
        <f t="shared" si="214"/>
        <v>0.58961639738394134</v>
      </c>
      <c r="W86" s="319">
        <f t="shared" si="214"/>
        <v>0.96210208927959207</v>
      </c>
      <c r="X86" s="44"/>
      <c r="Z86" s="45">
        <f>(N86-P87)^2</f>
        <v>2.5972636891105202E-3</v>
      </c>
      <c r="AA86" s="46">
        <f t="shared" si="215"/>
        <v>0.16645755471339629</v>
      </c>
      <c r="AB86" s="2">
        <v>1</v>
      </c>
      <c r="AC86" s="28"/>
      <c r="AD86" s="28"/>
      <c r="AE86" s="36">
        <f t="shared" si="216"/>
        <v>4107.4750408305936</v>
      </c>
      <c r="AF86" s="47"/>
      <c r="AG86" s="48">
        <f>AG87</f>
        <v>-6.9207507504801032E-3</v>
      </c>
      <c r="AH86" s="48" t="str">
        <f>AH87</f>
        <v>0</v>
      </c>
      <c r="AI86" s="46">
        <f t="shared" si="217"/>
        <v>1.5603158976968292E-2</v>
      </c>
      <c r="AJ86" s="49">
        <f t="shared" si="218"/>
        <v>64.089586056009082</v>
      </c>
      <c r="AK86" s="50">
        <f>AJ86/AJ87</f>
        <v>0.32729569878386822</v>
      </c>
      <c r="AL86" s="51">
        <f t="shared" si="219"/>
        <v>-18.166764830575314</v>
      </c>
      <c r="AM86" s="51">
        <f t="shared" si="220"/>
        <v>-0.28345891974866305</v>
      </c>
      <c r="AN86" s="319">
        <f t="shared" si="221"/>
        <v>0.75317406208432069</v>
      </c>
      <c r="AO86" s="38">
        <f t="shared" si="222"/>
        <v>1.5603158976968292E-2</v>
      </c>
      <c r="AP86" s="319">
        <f t="shared" si="223"/>
        <v>0.12491260535657837</v>
      </c>
      <c r="AQ86" s="320">
        <f t="shared" si="224"/>
        <v>1.9599639845400536</v>
      </c>
      <c r="AR86" s="41">
        <f t="shared" si="225"/>
        <v>-0.52828312746262163</v>
      </c>
      <c r="AS86" s="41">
        <f t="shared" si="226"/>
        <v>-3.8630213249769452E-2</v>
      </c>
      <c r="AT86" s="53">
        <f t="shared" si="227"/>
        <v>0.58961639738394134</v>
      </c>
      <c r="AU86" s="53">
        <f t="shared" si="227"/>
        <v>0.96210641757971327</v>
      </c>
      <c r="AV86" s="17"/>
      <c r="AX86" s="54"/>
      <c r="AY86" s="54">
        <v>1</v>
      </c>
      <c r="AZ86" s="55"/>
      <c r="BA86" s="55"/>
      <c r="BC86" s="28"/>
      <c r="BD86" s="28"/>
      <c r="BE86" s="2"/>
      <c r="BF86" s="2"/>
      <c r="BG86" s="2"/>
      <c r="BH86" s="2"/>
      <c r="BI86" s="2"/>
      <c r="BJ86" s="2"/>
      <c r="BK86" s="2"/>
      <c r="BL86" s="2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</row>
    <row r="87" spans="1:75">
      <c r="A87" s="424"/>
      <c r="B87" s="56">
        <f>COUNT(D84:D86)</f>
        <v>3</v>
      </c>
      <c r="C87" s="57">
        <f>SUM(C84:C86)</f>
        <v>303</v>
      </c>
      <c r="D87" s="57">
        <f>SUM(D84:D86)</f>
        <v>3462</v>
      </c>
      <c r="E87" s="57">
        <f>SUM(E84:E86)</f>
        <v>3765</v>
      </c>
      <c r="F87" s="57">
        <f>SUM(F84:F86)</f>
        <v>424</v>
      </c>
      <c r="G87" s="57">
        <f>SUM(G84:G86)</f>
        <v>3340</v>
      </c>
      <c r="H87" s="57">
        <f>SUM(H84:H86)</f>
        <v>3764</v>
      </c>
      <c r="I87" s="58"/>
      <c r="K87" s="59"/>
      <c r="L87" s="113"/>
      <c r="M87" s="61">
        <f>SUM(M84:M86)</f>
        <v>195.81554629085133</v>
      </c>
      <c r="N87" s="62"/>
      <c r="O87" s="63">
        <f>SUM(O84:O86)</f>
        <v>-65.485080683502673</v>
      </c>
      <c r="P87" s="64">
        <f>O87/M87</f>
        <v>-0.33442227608545194</v>
      </c>
      <c r="Q87" s="497">
        <f>EXP(P87)</f>
        <v>0.71575147367240533</v>
      </c>
      <c r="R87" s="497">
        <f>SQRT(1/M87)</f>
        <v>7.1462205539730053E-2</v>
      </c>
      <c r="S87" s="520">
        <f t="shared" si="211"/>
        <v>1.9599639845400536</v>
      </c>
      <c r="T87" s="499">
        <f>P87-(R87*S87)</f>
        <v>-0.47448562519912152</v>
      </c>
      <c r="U87" s="499">
        <f>P87+(R87*S87)</f>
        <v>-0.19435892697178234</v>
      </c>
      <c r="V87" s="497">
        <f>EXP(T87)</f>
        <v>0.62220502075083672</v>
      </c>
      <c r="W87" s="497">
        <f>EXP(U87)</f>
        <v>0.82336232428020151</v>
      </c>
      <c r="X87" s="66"/>
      <c r="Y87" s="66"/>
      <c r="Z87" s="67"/>
      <c r="AA87" s="68">
        <f>SUM(AA84:AA86)</f>
        <v>1.0975408198818983</v>
      </c>
      <c r="AB87" s="69">
        <f>SUM(AB84:AB86)</f>
        <v>3</v>
      </c>
      <c r="AC87" s="70">
        <f>AA87-(AB87-1)</f>
        <v>-0.90245918011810167</v>
      </c>
      <c r="AD87" s="61">
        <f>M87</f>
        <v>195.81554629085133</v>
      </c>
      <c r="AE87" s="61">
        <f>SUM(AE84:AE86)</f>
        <v>12809.571004550222</v>
      </c>
      <c r="AF87" s="71">
        <f>AE87/AD87</f>
        <v>65.416516957870854</v>
      </c>
      <c r="AG87" s="72">
        <f>AC87/(AD87-AF87)</f>
        <v>-6.9207507504801032E-3</v>
      </c>
      <c r="AH87" s="72" t="str">
        <f>IF(AA87&lt;AB87-1,"0",AG87)</f>
        <v>0</v>
      </c>
      <c r="AI87" s="67"/>
      <c r="AJ87" s="61">
        <f>SUM(AJ84:AJ86)</f>
        <v>195.81554629085133</v>
      </c>
      <c r="AK87" s="73">
        <f>SUM(AK84:AK86)</f>
        <v>1</v>
      </c>
      <c r="AL87" s="70">
        <f>SUM(AL84:AL86)</f>
        <v>-65.485080683502673</v>
      </c>
      <c r="AM87" s="70">
        <f>AL87/AJ87</f>
        <v>-0.33442227608545194</v>
      </c>
      <c r="AN87" s="497">
        <f>EXP(AM87)</f>
        <v>0.71575147367240533</v>
      </c>
      <c r="AO87" s="64">
        <f>1/AJ87</f>
        <v>5.106846820602624E-3</v>
      </c>
      <c r="AP87" s="63">
        <f>SQRT(AO87)</f>
        <v>7.1462205539730053E-2</v>
      </c>
      <c r="AQ87" s="320">
        <f t="shared" si="224"/>
        <v>1.9599639845400536</v>
      </c>
      <c r="AR87" s="65">
        <f>AM87-(AQ87*AP87)</f>
        <v>-0.47448562519912152</v>
      </c>
      <c r="AS87" s="65">
        <f>AM87+(1.96*AP87)</f>
        <v>-0.19435635322758105</v>
      </c>
      <c r="AT87" s="519">
        <f>EXP(AR87)</f>
        <v>0.62220502075083672</v>
      </c>
      <c r="AU87" s="519">
        <f>EXP(AS87)</f>
        <v>0.82336444340693615</v>
      </c>
      <c r="AV87" s="76"/>
      <c r="AW87" s="77"/>
      <c r="AX87" s="78">
        <f>AA87</f>
        <v>1.0975408198818983</v>
      </c>
      <c r="AY87" s="56">
        <f>SUM(AY84:AY86)</f>
        <v>3</v>
      </c>
      <c r="AZ87" s="79">
        <f>(AX87-(AY87-1))/AX87</f>
        <v>-0.82225568632172741</v>
      </c>
      <c r="BA87" s="80" t="str">
        <f>IF(AA87&lt;AB87-1,"0%",AZ87)</f>
        <v>0%</v>
      </c>
      <c r="BB87" s="77"/>
      <c r="BC87" s="63">
        <f>AX87/(AY87-1)</f>
        <v>0.54877040994094917</v>
      </c>
      <c r="BD87" s="81">
        <f>LN(BC87)</f>
        <v>-0.60007512177015943</v>
      </c>
      <c r="BE87" s="63">
        <f>LN(AX87)</f>
        <v>9.307205878978593E-2</v>
      </c>
      <c r="BF87" s="63">
        <f>LN(AY87-1)</f>
        <v>0.69314718055994529</v>
      </c>
      <c r="BG87" s="63">
        <f>SQRT(2*AX87)</f>
        <v>1.4815807908324798</v>
      </c>
      <c r="BH87" s="63">
        <f>SQRT(2*AY87-3)</f>
        <v>1.7320508075688772</v>
      </c>
      <c r="BI87" s="63">
        <f>2*(AY87-2)</f>
        <v>2</v>
      </c>
      <c r="BJ87" s="63">
        <f>3*(AY87-2)^2</f>
        <v>3</v>
      </c>
      <c r="BK87" s="63">
        <f>1/BI87</f>
        <v>0.5</v>
      </c>
      <c r="BL87" s="82">
        <f>1/BJ87</f>
        <v>0.33333333333333331</v>
      </c>
      <c r="BM87" s="82">
        <f>SQRT(BK87*(1-BL87))</f>
        <v>0.57735026918962584</v>
      </c>
      <c r="BN87" s="83">
        <f>0.5*(BE87-BF87)/(BG87-BH87)</f>
        <v>1.1978981148903294</v>
      </c>
      <c r="BO87" s="83">
        <f>IF(AA87&lt;=AB87,BM87,BN87)</f>
        <v>0.57735026918962584</v>
      </c>
      <c r="BP87" s="70">
        <f>BD87-(1.96*BO87)</f>
        <v>-1.7316816493818261</v>
      </c>
      <c r="BQ87" s="70">
        <f>BD87+(1.96*BO87)</f>
        <v>0.53153140584150727</v>
      </c>
      <c r="BR87" s="70"/>
      <c r="BS87" s="81">
        <f>EXP(BP87)</f>
        <v>0.17698653028623643</v>
      </c>
      <c r="BT87" s="81">
        <f>EXP(BQ87)</f>
        <v>1.7015360566689217</v>
      </c>
      <c r="BU87" s="84" t="str">
        <f>BA87</f>
        <v>0%</v>
      </c>
      <c r="BV87" s="84">
        <f>(BS87-1)/BS87</f>
        <v>-4.6501474907876998</v>
      </c>
      <c r="BW87" s="84">
        <f>(BT87-1)/BT87</f>
        <v>0.41229573356341981</v>
      </c>
    </row>
    <row r="88" spans="1:75" ht="13.5" thickBot="1">
      <c r="A88" s="424"/>
      <c r="C88" s="545"/>
      <c r="D88" s="85"/>
      <c r="E88" s="85"/>
      <c r="F88" s="545">
        <f>F87/H87</f>
        <v>0.1126461211477152</v>
      </c>
      <c r="G88" s="85"/>
      <c r="H88" s="85"/>
      <c r="I88" s="86"/>
      <c r="R88" s="87"/>
      <c r="S88" s="87"/>
      <c r="T88" s="87"/>
      <c r="U88" s="87"/>
      <c r="V88" s="87"/>
      <c r="W88" s="87"/>
      <c r="X88" s="87"/>
      <c r="AB88" s="88"/>
      <c r="AC88" s="89"/>
      <c r="AD88" s="90"/>
      <c r="AE88" s="89"/>
      <c r="AF88" s="91"/>
      <c r="AG88" s="91"/>
      <c r="AH88" s="91"/>
      <c r="AI88" s="91"/>
      <c r="AT88" s="92"/>
      <c r="AU88" s="92"/>
      <c r="AV88" s="92"/>
      <c r="AX88" s="5" t="s">
        <v>56</v>
      </c>
      <c r="BG88" s="11"/>
      <c r="BN88" s="89" t="s">
        <v>57</v>
      </c>
      <c r="BT88" s="93" t="s">
        <v>58</v>
      </c>
      <c r="BU88" s="504" t="str">
        <f>BU87</f>
        <v>0%</v>
      </c>
      <c r="BV88" s="504" t="str">
        <f>IF(BV87&lt;0,"0%",BV87)</f>
        <v>0%</v>
      </c>
      <c r="BW88" s="505">
        <f>IF(BW87&lt;0,"0%",BW87)</f>
        <v>0.41229573356341981</v>
      </c>
    </row>
    <row r="89" spans="1:75" s="15" customFormat="1" ht="26.5" thickBot="1">
      <c r="A89" s="569"/>
      <c r="B89" s="570"/>
      <c r="C89" s="571"/>
      <c r="D89" s="571"/>
      <c r="E89" s="571"/>
      <c r="F89" s="571"/>
      <c r="G89" s="571"/>
      <c r="H89" s="571"/>
      <c r="I89" s="573"/>
      <c r="J89" s="570"/>
      <c r="K89" s="570"/>
      <c r="R89" s="574"/>
      <c r="S89" s="574"/>
      <c r="T89" s="574"/>
      <c r="U89" s="574"/>
      <c r="V89" s="574"/>
      <c r="W89" s="574"/>
      <c r="X89" s="574"/>
      <c r="AI89" s="575"/>
      <c r="AJ89" s="576"/>
      <c r="AK89" s="576"/>
      <c r="AL89" s="577"/>
      <c r="AM89" s="578"/>
      <c r="AO89" s="100" t="s">
        <v>59</v>
      </c>
      <c r="AP89" s="101">
        <f>TINV((1-$H$1),(AB87-2))</f>
        <v>12.706204736174694</v>
      </c>
      <c r="AR89" s="579" t="s">
        <v>60</v>
      </c>
      <c r="AS89" s="102">
        <f>$H$1</f>
        <v>0.95</v>
      </c>
      <c r="AT89" s="507">
        <f>EXP(AM87-AP89*SQRT((1/AD87)+AH87))</f>
        <v>0.28868022523001519</v>
      </c>
      <c r="AU89" s="507">
        <f>EXP(AM87+AP89*SQRT((1/AD87)+AH87))</f>
        <v>1.7746285588353981</v>
      </c>
      <c r="AV89" s="17"/>
      <c r="AX89" s="103">
        <f>_xlfn.CHISQ.DIST.RT(AX87,AY87-1)</f>
        <v>0.5776596584535344</v>
      </c>
      <c r="AY89" s="104" t="str">
        <f>IF(AX89&lt;0.05,"heterogeneidad","homogeneidad")</f>
        <v>homogeneidad</v>
      </c>
      <c r="BF89" s="580"/>
      <c r="BG89" s="575"/>
      <c r="BH89" s="575"/>
      <c r="BJ89" s="581"/>
      <c r="BL89" s="575"/>
      <c r="BM89" s="582"/>
      <c r="BQ89" s="575"/>
    </row>
    <row r="90" spans="1:75" ht="14.5">
      <c r="A90" s="424"/>
      <c r="B90" s="5"/>
      <c r="C90" s="94"/>
      <c r="D90" s="94"/>
      <c r="E90" s="94"/>
      <c r="F90" s="94"/>
      <c r="G90" s="94"/>
      <c r="H90" s="94"/>
      <c r="I90" s="95"/>
      <c r="J90" s="5"/>
      <c r="K90" s="5"/>
      <c r="R90" s="96"/>
      <c r="S90" s="96"/>
      <c r="T90" s="96"/>
      <c r="U90" s="96"/>
      <c r="V90" s="96"/>
      <c r="W90" s="96"/>
      <c r="X90" s="96"/>
      <c r="AF90" s="1"/>
      <c r="AI90" s="11"/>
      <c r="AJ90" s="97"/>
      <c r="AK90" s="97"/>
      <c r="AL90" s="98"/>
      <c r="AM90" s="99"/>
      <c r="AN90" s="107"/>
      <c r="AO90" s="108"/>
      <c r="AP90" s="14"/>
      <c r="AS90" s="109"/>
      <c r="AT90" s="17"/>
      <c r="AU90" s="17"/>
      <c r="AV90" s="17"/>
      <c r="BF90" s="105"/>
      <c r="BG90" s="11"/>
      <c r="BH90" s="11"/>
      <c r="BJ90" s="44"/>
      <c r="BL90" s="11"/>
      <c r="BM90" s="110"/>
      <c r="BQ90" s="11"/>
    </row>
    <row r="91" spans="1:75" ht="13" customHeight="1">
      <c r="A91" s="424"/>
      <c r="C91" s="85"/>
      <c r="D91" s="85"/>
      <c r="E91" s="85"/>
      <c r="F91" s="85"/>
      <c r="G91" s="85"/>
      <c r="H91" s="85"/>
      <c r="I91" s="86"/>
      <c r="J91" s="619" t="s">
        <v>4</v>
      </c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1"/>
      <c r="X91" s="12"/>
      <c r="Y91" s="619" t="s">
        <v>5</v>
      </c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  <c r="AM91" s="620"/>
      <c r="AN91" s="620"/>
      <c r="AO91" s="620"/>
      <c r="AP91" s="620"/>
      <c r="AQ91" s="620"/>
      <c r="AR91" s="620"/>
      <c r="AS91" s="620"/>
      <c r="AT91" s="620"/>
      <c r="AU91" s="621"/>
      <c r="AV91" s="12"/>
      <c r="AW91" s="619" t="s">
        <v>229</v>
      </c>
      <c r="AX91" s="620"/>
      <c r="AY91" s="620"/>
      <c r="AZ91" s="620"/>
      <c r="BA91" s="620"/>
      <c r="BB91" s="620"/>
      <c r="BC91" s="620"/>
      <c r="BD91" s="620"/>
      <c r="BE91" s="620"/>
      <c r="BF91" s="620"/>
      <c r="BG91" s="620"/>
      <c r="BH91" s="620"/>
      <c r="BI91" s="620"/>
      <c r="BJ91" s="620"/>
      <c r="BK91" s="620"/>
      <c r="BL91" s="620"/>
      <c r="BM91" s="620"/>
      <c r="BN91" s="620"/>
      <c r="BO91" s="620"/>
      <c r="BP91" s="620"/>
      <c r="BQ91" s="620"/>
      <c r="BR91" s="620"/>
      <c r="BS91" s="620"/>
      <c r="BT91" s="620"/>
      <c r="BU91" s="620"/>
      <c r="BV91" s="620"/>
      <c r="BW91" s="621"/>
    </row>
    <row r="92" spans="1:75">
      <c r="A92" s="548" t="s">
        <v>479</v>
      </c>
      <c r="B92" s="13" t="s">
        <v>6</v>
      </c>
      <c r="C92" s="618" t="s">
        <v>7</v>
      </c>
      <c r="D92" s="618"/>
      <c r="E92" s="618"/>
      <c r="F92" s="618" t="s">
        <v>8</v>
      </c>
      <c r="G92" s="618"/>
      <c r="H92" s="618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</row>
    <row r="93" spans="1:75" ht="60">
      <c r="A93" s="568" t="s">
        <v>373</v>
      </c>
      <c r="B93" s="559" t="s">
        <v>384</v>
      </c>
      <c r="C93" s="560" t="s">
        <v>9</v>
      </c>
      <c r="D93" s="560" t="s">
        <v>10</v>
      </c>
      <c r="E93" s="560" t="s">
        <v>11</v>
      </c>
      <c r="F93" s="560" t="s">
        <v>9</v>
      </c>
      <c r="G93" s="560" t="s">
        <v>10</v>
      </c>
      <c r="H93" s="560" t="s">
        <v>11</v>
      </c>
      <c r="I93" s="17"/>
      <c r="K93" s="18" t="s">
        <v>12</v>
      </c>
      <c r="L93" s="18" t="s">
        <v>13</v>
      </c>
      <c r="M93" s="18" t="s">
        <v>14</v>
      </c>
      <c r="N93" s="19" t="s">
        <v>15</v>
      </c>
      <c r="O93" s="19" t="s">
        <v>16</v>
      </c>
      <c r="P93" s="19" t="s">
        <v>17</v>
      </c>
      <c r="Q93" s="495" t="s">
        <v>18</v>
      </c>
      <c r="R93" s="495" t="s">
        <v>19</v>
      </c>
      <c r="S93" s="496" t="s">
        <v>3</v>
      </c>
      <c r="T93" s="495" t="s">
        <v>20</v>
      </c>
      <c r="U93" s="495" t="s">
        <v>21</v>
      </c>
      <c r="V93" s="495" t="s">
        <v>22</v>
      </c>
      <c r="W93" s="495" t="s">
        <v>22</v>
      </c>
      <c r="X93" s="20"/>
      <c r="Y93" s="21"/>
      <c r="Z93" s="22" t="s">
        <v>23</v>
      </c>
      <c r="AA93" s="19" t="s">
        <v>24</v>
      </c>
      <c r="AB93" s="3" t="s">
        <v>25</v>
      </c>
      <c r="AC93" s="3" t="s">
        <v>26</v>
      </c>
      <c r="AD93" s="3" t="s">
        <v>27</v>
      </c>
      <c r="AE93" s="19" t="s">
        <v>28</v>
      </c>
      <c r="AF93" s="19" t="s">
        <v>29</v>
      </c>
      <c r="AG93" s="23" t="s">
        <v>30</v>
      </c>
      <c r="AH93" s="23" t="s">
        <v>31</v>
      </c>
      <c r="AI93" s="3" t="s">
        <v>32</v>
      </c>
      <c r="AJ93" s="19" t="s">
        <v>33</v>
      </c>
      <c r="AK93" s="19" t="s">
        <v>34</v>
      </c>
      <c r="AL93" s="19" t="s">
        <v>35</v>
      </c>
      <c r="AM93" s="3" t="s">
        <v>36</v>
      </c>
      <c r="AN93" s="496" t="s">
        <v>37</v>
      </c>
      <c r="AO93" s="19" t="s">
        <v>38</v>
      </c>
      <c r="AP93" s="19" t="s">
        <v>39</v>
      </c>
      <c r="AQ93" s="3" t="s">
        <v>3</v>
      </c>
      <c r="AR93" s="19" t="s">
        <v>40</v>
      </c>
      <c r="AS93" s="19" t="s">
        <v>41</v>
      </c>
      <c r="AT93" s="495" t="s">
        <v>22</v>
      </c>
      <c r="AU93" s="495" t="s">
        <v>22</v>
      </c>
      <c r="AV93" s="20"/>
      <c r="AX93" s="24" t="s">
        <v>42</v>
      </c>
      <c r="AY93" s="24" t="s">
        <v>25</v>
      </c>
      <c r="AZ93" s="25" t="s">
        <v>61</v>
      </c>
      <c r="BA93" s="26" t="s">
        <v>62</v>
      </c>
      <c r="BC93" s="3" t="s">
        <v>63</v>
      </c>
      <c r="BD93" s="3" t="s">
        <v>64</v>
      </c>
      <c r="BE93" s="3" t="s">
        <v>43</v>
      </c>
      <c r="BF93" s="3" t="s">
        <v>44</v>
      </c>
      <c r="BG93" s="3" t="s">
        <v>45</v>
      </c>
      <c r="BH93" s="3" t="s">
        <v>46</v>
      </c>
      <c r="BI93" s="3" t="s">
        <v>47</v>
      </c>
      <c r="BJ93" s="3" t="s">
        <v>65</v>
      </c>
      <c r="BK93" s="3" t="s">
        <v>48</v>
      </c>
      <c r="BL93" s="3" t="s">
        <v>49</v>
      </c>
      <c r="BM93" s="27" t="s">
        <v>66</v>
      </c>
      <c r="BN93" s="27" t="s">
        <v>67</v>
      </c>
      <c r="BO93" s="27" t="s">
        <v>68</v>
      </c>
      <c r="BP93" s="27" t="s">
        <v>69</v>
      </c>
      <c r="BQ93" s="27" t="s">
        <v>70</v>
      </c>
      <c r="BR93" s="28"/>
      <c r="BS93" s="19" t="s">
        <v>71</v>
      </c>
      <c r="BT93" s="19" t="s">
        <v>72</v>
      </c>
      <c r="BU93" s="495" t="s">
        <v>226</v>
      </c>
      <c r="BV93" s="495" t="s">
        <v>227</v>
      </c>
      <c r="BW93" s="495" t="s">
        <v>228</v>
      </c>
    </row>
    <row r="94" spans="1:75">
      <c r="A94" s="424"/>
      <c r="B94" s="561" t="s">
        <v>231</v>
      </c>
      <c r="C94" s="562">
        <v>138</v>
      </c>
      <c r="D94" s="563">
        <f>E94-C94</f>
        <v>937</v>
      </c>
      <c r="E94" s="564">
        <v>1075</v>
      </c>
      <c r="F94" s="562">
        <v>172</v>
      </c>
      <c r="G94" s="563">
        <f>H94-F94</f>
        <v>892</v>
      </c>
      <c r="H94" s="564">
        <v>1064</v>
      </c>
      <c r="I94" s="33"/>
      <c r="K94" s="34">
        <f>(C94/E94)/(F94/H94)</f>
        <v>0.79411573823688475</v>
      </c>
      <c r="L94" s="35">
        <f>(D94/(C94*E94)+(G94/(F94*H94)))</f>
        <v>1.1190248117766611E-2</v>
      </c>
      <c r="M94" s="36">
        <f>1/L94</f>
        <v>89.363523442551113</v>
      </c>
      <c r="N94" s="37">
        <f>LN(K94)</f>
        <v>-0.23052606231642189</v>
      </c>
      <c r="O94" s="37">
        <f>M94*N94</f>
        <v>-20.600621173932566</v>
      </c>
      <c r="P94" s="37">
        <f>LN(K94)</f>
        <v>-0.23052606231642189</v>
      </c>
      <c r="Q94" s="38">
        <f>K94</f>
        <v>0.79411573823688475</v>
      </c>
      <c r="R94" s="39">
        <f>SQRT(1/M94)</f>
        <v>0.10578396909629838</v>
      </c>
      <c r="S94" s="320">
        <f>$H$2</f>
        <v>1.9599639845400536</v>
      </c>
      <c r="T94" s="41">
        <f>P94-(R94*S94)</f>
        <v>-0.43785883188686475</v>
      </c>
      <c r="U94" s="41">
        <f>P94+(R94*S94)</f>
        <v>-2.3193292745979033E-2</v>
      </c>
      <c r="V94" s="319">
        <f>EXP(T94)</f>
        <v>0.64541688871088743</v>
      </c>
      <c r="W94" s="319">
        <f>EXP(U94)</f>
        <v>0.9770736042793523</v>
      </c>
      <c r="X94" s="44"/>
      <c r="Z94" s="45">
        <f>(N94-P97)^2</f>
        <v>5.8965048104766193E-3</v>
      </c>
      <c r="AA94" s="46">
        <f>M94*Z94</f>
        <v>0.52693244586014276</v>
      </c>
      <c r="AB94" s="2">
        <v>1</v>
      </c>
      <c r="AC94" s="28"/>
      <c r="AD94" s="28"/>
      <c r="AE94" s="36">
        <f>M94^2</f>
        <v>7985.8393220673825</v>
      </c>
      <c r="AF94" s="47"/>
      <c r="AG94" s="48">
        <f>AG97</f>
        <v>-6.0332811915436504E-3</v>
      </c>
      <c r="AH94" s="48" t="str">
        <f>AH97</f>
        <v>0</v>
      </c>
      <c r="AI94" s="46">
        <f>1/M94</f>
        <v>1.1190248117766611E-2</v>
      </c>
      <c r="AJ94" s="49">
        <f>1/(AH94+AI94)</f>
        <v>89.363523442551113</v>
      </c>
      <c r="AK94" s="50">
        <f>AJ94/AJ97</f>
        <v>0.30562858925554853</v>
      </c>
      <c r="AL94" s="51">
        <f>AJ94*N94</f>
        <v>-20.600621173932566</v>
      </c>
      <c r="AM94" s="51">
        <f>AL94/AJ94</f>
        <v>-0.23052606231642189</v>
      </c>
      <c r="AN94" s="319">
        <f>EXP(AM94)</f>
        <v>0.79411573823688475</v>
      </c>
      <c r="AO94" s="38">
        <f>1/AJ94</f>
        <v>1.1190248117766611E-2</v>
      </c>
      <c r="AP94" s="319">
        <f>SQRT(AO94)</f>
        <v>0.10578396909629838</v>
      </c>
      <c r="AQ94" s="320">
        <f>$H$2</f>
        <v>1.9599639845400536</v>
      </c>
      <c r="AR94" s="41">
        <f>AM94-(AQ94*AP94)</f>
        <v>-0.43785883188686475</v>
      </c>
      <c r="AS94" s="41">
        <f>AM94+(1.96*AP94)</f>
        <v>-2.3189482887677082E-2</v>
      </c>
      <c r="AT94" s="53">
        <f>EXP(AR94)</f>
        <v>0.64541688871088743</v>
      </c>
      <c r="AU94" s="53">
        <f>EXP(AS94)</f>
        <v>0.9770773267984264</v>
      </c>
      <c r="AV94" s="17"/>
      <c r="AX94" s="54"/>
      <c r="AY94" s="54">
        <v>1</v>
      </c>
      <c r="AZ94" s="55"/>
      <c r="BA94" s="55"/>
      <c r="BC94" s="28"/>
      <c r="BD94" s="28"/>
      <c r="BE94" s="2"/>
      <c r="BF94" s="2"/>
      <c r="BG94" s="2"/>
      <c r="BH94" s="2"/>
      <c r="BI94" s="2"/>
      <c r="BJ94" s="2"/>
      <c r="BK94" s="2"/>
      <c r="BL94" s="2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</row>
    <row r="95" spans="1:75">
      <c r="A95" s="424"/>
      <c r="B95" s="561" t="s">
        <v>230</v>
      </c>
      <c r="C95" s="562">
        <v>140</v>
      </c>
      <c r="D95" s="563">
        <f t="shared" ref="D95" si="230">E95-C95</f>
        <v>787</v>
      </c>
      <c r="E95" s="564">
        <v>927</v>
      </c>
      <c r="F95" s="562">
        <v>201</v>
      </c>
      <c r="G95" s="563">
        <f t="shared" ref="G95" si="231">H95-F95</f>
        <v>728</v>
      </c>
      <c r="H95" s="564">
        <v>929</v>
      </c>
      <c r="I95" s="33"/>
      <c r="K95" s="34">
        <f t="shared" ref="K95:K96" si="232">(C95/E95)/(F95/H95)</f>
        <v>0.69802014737531326</v>
      </c>
      <c r="L95" s="35">
        <f t="shared" ref="L95:L96" si="233">(D95/(C95*E95)+(G95/(F95*H95)))</f>
        <v>9.9628066046015488E-3</v>
      </c>
      <c r="M95" s="36">
        <f t="shared" ref="M95:M96" si="234">1/L95</f>
        <v>100.37332246699712</v>
      </c>
      <c r="N95" s="37">
        <f t="shared" ref="N95:N96" si="235">LN(K95)</f>
        <v>-0.35950731220178811</v>
      </c>
      <c r="O95" s="37">
        <f t="shared" ref="O95:O96" si="236">M95*N95</f>
        <v>-36.08494337687349</v>
      </c>
      <c r="P95" s="37">
        <f t="shared" ref="P95:P96" si="237">LN(K95)</f>
        <v>-0.35950731220178811</v>
      </c>
      <c r="Q95" s="38">
        <f t="shared" ref="Q95:Q96" si="238">K95</f>
        <v>0.69802014737531326</v>
      </c>
      <c r="R95" s="39">
        <f t="shared" ref="R95:R96" si="239">SQRT(1/M95)</f>
        <v>9.981385978210415E-2</v>
      </c>
      <c r="S95" s="320">
        <f t="shared" ref="S95:S97" si="240">$H$2</f>
        <v>1.9599639845400536</v>
      </c>
      <c r="T95" s="41">
        <f t="shared" ref="T95:T96" si="241">P95-(R95*S95)</f>
        <v>-0.55513888253264321</v>
      </c>
      <c r="U95" s="41">
        <f t="shared" ref="U95:U96" si="242">P95+(R95*S95)</f>
        <v>-0.16387574187093304</v>
      </c>
      <c r="V95" s="319">
        <f t="shared" ref="V95:W96" si="243">EXP(T95)</f>
        <v>0.57399253812308015</v>
      </c>
      <c r="W95" s="319">
        <f t="shared" si="243"/>
        <v>0.84884749152850092</v>
      </c>
      <c r="X95" s="44"/>
      <c r="Z95" s="45">
        <f>(N95-P97)^2</f>
        <v>2.7240620169538318E-3</v>
      </c>
      <c r="AA95" s="46">
        <f t="shared" ref="AA95:AA96" si="244">M95*Z95</f>
        <v>0.27342315524780553</v>
      </c>
      <c r="AB95" s="2">
        <v>1</v>
      </c>
      <c r="AC95" s="28"/>
      <c r="AD95" s="28"/>
      <c r="AE95" s="36">
        <f t="shared" ref="AE95:AE96" si="245">M95^2</f>
        <v>10074.803863063789</v>
      </c>
      <c r="AF95" s="47"/>
      <c r="AG95" s="48">
        <f>AG97</f>
        <v>-6.0332811915436504E-3</v>
      </c>
      <c r="AH95" s="48" t="str">
        <f>AH97</f>
        <v>0</v>
      </c>
      <c r="AI95" s="46">
        <f t="shared" ref="AI95:AI96" si="246">1/M95</f>
        <v>9.9628066046015488E-3</v>
      </c>
      <c r="AJ95" s="49">
        <f t="shared" ref="AJ95:AJ96" si="247">1/(AH95+AI95)</f>
        <v>100.37332246699712</v>
      </c>
      <c r="AK95" s="50">
        <f>AJ95/AJ97</f>
        <v>0.34328275970678124</v>
      </c>
      <c r="AL95" s="51">
        <f t="shared" ref="AL95:AL96" si="248">AJ95*N95</f>
        <v>-36.08494337687349</v>
      </c>
      <c r="AM95" s="51">
        <f t="shared" ref="AM95:AM96" si="249">AL95/AJ95</f>
        <v>-0.35950731220178811</v>
      </c>
      <c r="AN95" s="319">
        <f t="shared" ref="AN95:AN96" si="250">EXP(AM95)</f>
        <v>0.69802014737531326</v>
      </c>
      <c r="AO95" s="38">
        <f t="shared" ref="AO95:AO96" si="251">1/AJ95</f>
        <v>9.9628066046015488E-3</v>
      </c>
      <c r="AP95" s="319">
        <f t="shared" ref="AP95:AP96" si="252">SQRT(AO95)</f>
        <v>9.981385978210415E-2</v>
      </c>
      <c r="AQ95" s="320">
        <f t="shared" ref="AQ95:AQ97" si="253">$H$2</f>
        <v>1.9599639845400536</v>
      </c>
      <c r="AR95" s="41">
        <f t="shared" ref="AR95:AR96" si="254">AM95-(AQ95*AP95)</f>
        <v>-0.55513888253264321</v>
      </c>
      <c r="AS95" s="41">
        <f t="shared" ref="AS95:AS96" si="255">AM95+(1.96*AP95)</f>
        <v>-0.16387214702886399</v>
      </c>
      <c r="AT95" s="53">
        <f t="shared" ref="AT95:AU96" si="256">EXP(AR95)</f>
        <v>0.57399253812308015</v>
      </c>
      <c r="AU95" s="53">
        <f t="shared" si="256"/>
        <v>0.84885054300665852</v>
      </c>
      <c r="AV95" s="17"/>
      <c r="AX95" s="54"/>
      <c r="AY95" s="54">
        <v>1</v>
      </c>
      <c r="AZ95" s="55"/>
      <c r="BA95" s="55"/>
      <c r="BC95" s="28"/>
      <c r="BD95" s="28"/>
      <c r="BE95" s="2"/>
      <c r="BF95" s="2"/>
      <c r="BG95" s="2"/>
      <c r="BH95" s="2"/>
      <c r="BI95" s="2"/>
      <c r="BJ95" s="2"/>
      <c r="BK95" s="2"/>
      <c r="BL95" s="2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</row>
    <row r="96" spans="1:75">
      <c r="A96" s="550" t="s">
        <v>297</v>
      </c>
      <c r="B96" s="561" t="s">
        <v>370</v>
      </c>
      <c r="C96" s="562">
        <v>155</v>
      </c>
      <c r="D96" s="563">
        <f t="shared" ref="D96" si="257">E96-C96</f>
        <v>1311</v>
      </c>
      <c r="E96" s="564">
        <v>1466</v>
      </c>
      <c r="F96" s="562">
        <v>215</v>
      </c>
      <c r="G96" s="563">
        <f t="shared" ref="G96" si="258">H96-F96</f>
        <v>1257</v>
      </c>
      <c r="H96" s="564">
        <v>1472</v>
      </c>
      <c r="I96" s="33"/>
      <c r="K96" s="34">
        <f t="shared" si="232"/>
        <v>0.72388083378279766</v>
      </c>
      <c r="L96" s="35">
        <f t="shared" si="233"/>
        <v>9.7412996277273841E-3</v>
      </c>
      <c r="M96" s="36">
        <f t="shared" si="234"/>
        <v>102.65570696066321</v>
      </c>
      <c r="N96" s="37">
        <f t="shared" si="235"/>
        <v>-0.32312849436619145</v>
      </c>
      <c r="O96" s="37">
        <f t="shared" si="236"/>
        <v>-33.170984028296061</v>
      </c>
      <c r="P96" s="37">
        <f t="shared" si="237"/>
        <v>-0.32312849436619145</v>
      </c>
      <c r="Q96" s="38">
        <f t="shared" si="238"/>
        <v>0.72388083378279766</v>
      </c>
      <c r="R96" s="39">
        <f t="shared" si="239"/>
        <v>9.8698022410418057E-2</v>
      </c>
      <c r="S96" s="320">
        <f t="shared" si="240"/>
        <v>1.9599639845400536</v>
      </c>
      <c r="T96" s="41">
        <f t="shared" si="241"/>
        <v>-0.51657306363593791</v>
      </c>
      <c r="U96" s="41">
        <f t="shared" si="242"/>
        <v>-0.12968392509644497</v>
      </c>
      <c r="V96" s="319">
        <f t="shared" si="243"/>
        <v>0.59656142703924198</v>
      </c>
      <c r="W96" s="319">
        <f t="shared" si="243"/>
        <v>0.87837301871615847</v>
      </c>
      <c r="X96" s="44"/>
      <c r="Z96" s="45">
        <f>(N96-P97)^2</f>
        <v>2.500740466302669E-4</v>
      </c>
      <c r="AA96" s="46">
        <f t="shared" si="244"/>
        <v>2.5671528049343906E-2</v>
      </c>
      <c r="AB96" s="2">
        <v>1</v>
      </c>
      <c r="AC96" s="28"/>
      <c r="AD96" s="28"/>
      <c r="AE96" s="36">
        <f t="shared" si="245"/>
        <v>10538.194171593557</v>
      </c>
      <c r="AF96" s="47"/>
      <c r="AG96" s="48">
        <f>AG97</f>
        <v>-6.0332811915436504E-3</v>
      </c>
      <c r="AH96" s="48" t="str">
        <f>AH97</f>
        <v>0</v>
      </c>
      <c r="AI96" s="46">
        <f t="shared" si="246"/>
        <v>9.7412996277273841E-3</v>
      </c>
      <c r="AJ96" s="49">
        <f t="shared" si="247"/>
        <v>102.65570696066321</v>
      </c>
      <c r="AK96" s="50">
        <f>AJ96/AJ97</f>
        <v>0.35108865103767023</v>
      </c>
      <c r="AL96" s="51">
        <f t="shared" si="248"/>
        <v>-33.170984028296061</v>
      </c>
      <c r="AM96" s="51">
        <f t="shared" si="249"/>
        <v>-0.32312849436619145</v>
      </c>
      <c r="AN96" s="319">
        <f t="shared" si="250"/>
        <v>0.72388083378279766</v>
      </c>
      <c r="AO96" s="38">
        <f t="shared" si="251"/>
        <v>9.7412996277273841E-3</v>
      </c>
      <c r="AP96" s="319">
        <f t="shared" si="252"/>
        <v>9.8698022410418057E-2</v>
      </c>
      <c r="AQ96" s="320">
        <f t="shared" si="253"/>
        <v>1.9599639845400536</v>
      </c>
      <c r="AR96" s="41">
        <f t="shared" si="254"/>
        <v>-0.51657306363593791</v>
      </c>
      <c r="AS96" s="41">
        <f t="shared" si="255"/>
        <v>-0.12968037044177205</v>
      </c>
      <c r="AT96" s="53">
        <f t="shared" si="256"/>
        <v>0.59656142703924198</v>
      </c>
      <c r="AU96" s="53">
        <f t="shared" si="256"/>
        <v>0.87837614103446349</v>
      </c>
      <c r="AV96" s="17"/>
      <c r="AX96" s="54"/>
      <c r="AY96" s="54">
        <v>1</v>
      </c>
      <c r="AZ96" s="55"/>
      <c r="BA96" s="55"/>
      <c r="BC96" s="28"/>
      <c r="BD96" s="28"/>
      <c r="BE96" s="2"/>
      <c r="BF96" s="2"/>
      <c r="BG96" s="2"/>
      <c r="BH96" s="2"/>
      <c r="BI96" s="2"/>
      <c r="BJ96" s="2"/>
      <c r="BK96" s="2"/>
      <c r="BL96" s="2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</row>
    <row r="97" spans="1:75">
      <c r="A97" s="424"/>
      <c r="B97" s="56">
        <f>COUNT(D94:D96)</f>
        <v>3</v>
      </c>
      <c r="C97" s="57">
        <f>SUM(C94:C96)</f>
        <v>433</v>
      </c>
      <c r="D97" s="57">
        <f>SUM(D94:D96)</f>
        <v>3035</v>
      </c>
      <c r="E97" s="57">
        <f>SUM(E94:E96)</f>
        <v>3468</v>
      </c>
      <c r="F97" s="57">
        <f>SUM(F94:F96)</f>
        <v>588</v>
      </c>
      <c r="G97" s="57">
        <f>SUM(G94:G96)</f>
        <v>2877</v>
      </c>
      <c r="H97" s="57">
        <f>SUM(H94:H96)</f>
        <v>3465</v>
      </c>
      <c r="I97" s="58"/>
      <c r="K97" s="59"/>
      <c r="L97" s="113"/>
      <c r="M97" s="61">
        <f>SUM(M94:M96)</f>
        <v>292.39255287021143</v>
      </c>
      <c r="N97" s="62"/>
      <c r="O97" s="63">
        <f>SUM(O94:O96)</f>
        <v>-89.85654857910211</v>
      </c>
      <c r="P97" s="64">
        <f>O97/M97</f>
        <v>-0.30731476467866148</v>
      </c>
      <c r="Q97" s="497">
        <f>EXP(P97)</f>
        <v>0.73541908052138305</v>
      </c>
      <c r="R97" s="497">
        <f>SQRT(1/M97)</f>
        <v>5.8481276881174257E-2</v>
      </c>
      <c r="S97" s="520">
        <f t="shared" si="240"/>
        <v>1.9599639845400536</v>
      </c>
      <c r="T97" s="499">
        <f>P97-(R97*S97)</f>
        <v>-0.42193596113567788</v>
      </c>
      <c r="U97" s="499">
        <f>P97+(R97*S97)</f>
        <v>-0.19269356822164507</v>
      </c>
      <c r="V97" s="497">
        <f>EXP(T97)</f>
        <v>0.65577603320122535</v>
      </c>
      <c r="W97" s="497">
        <f>EXP(U97)</f>
        <v>0.82473466033022735</v>
      </c>
      <c r="X97" s="66"/>
      <c r="Y97" s="66"/>
      <c r="Z97" s="67"/>
      <c r="AA97" s="68">
        <f>SUM(AA94:AA96)</f>
        <v>0.82602712915729215</v>
      </c>
      <c r="AB97" s="69">
        <f>SUM(AB94:AB96)</f>
        <v>3</v>
      </c>
      <c r="AC97" s="70">
        <f>AA97-(AB97-1)</f>
        <v>-1.1739728708427077</v>
      </c>
      <c r="AD97" s="61">
        <f>M97</f>
        <v>292.39255287021143</v>
      </c>
      <c r="AE97" s="61">
        <f>SUM(AE94:AE96)</f>
        <v>28598.837356724729</v>
      </c>
      <c r="AF97" s="71">
        <f>AE97/AD97</f>
        <v>97.809732416199097</v>
      </c>
      <c r="AG97" s="72">
        <f>AC97/(AD97-AF97)</f>
        <v>-6.0332811915436504E-3</v>
      </c>
      <c r="AH97" s="72" t="str">
        <f>IF(AA97&lt;AB97-1,"0",AG97)</f>
        <v>0</v>
      </c>
      <c r="AI97" s="67"/>
      <c r="AJ97" s="61">
        <f>SUM(AJ94:AJ96)</f>
        <v>292.39255287021143</v>
      </c>
      <c r="AK97" s="73">
        <f>SUM(AK94:AK96)</f>
        <v>1</v>
      </c>
      <c r="AL97" s="70">
        <f>SUM(AL94:AL96)</f>
        <v>-89.85654857910211</v>
      </c>
      <c r="AM97" s="70">
        <f>AL97/AJ97</f>
        <v>-0.30731476467866148</v>
      </c>
      <c r="AN97" s="497">
        <f>EXP(AM97)</f>
        <v>0.73541908052138305</v>
      </c>
      <c r="AO97" s="64">
        <f>1/AJ97</f>
        <v>3.4200597456525666E-3</v>
      </c>
      <c r="AP97" s="63">
        <f>SQRT(AO97)</f>
        <v>5.8481276881174257E-2</v>
      </c>
      <c r="AQ97" s="320">
        <f t="shared" si="253"/>
        <v>1.9599639845400536</v>
      </c>
      <c r="AR97" s="65">
        <f>AM97-(AQ97*AP97)</f>
        <v>-0.42193596113567788</v>
      </c>
      <c r="AS97" s="65">
        <f>AM97+(1.96*AP97)</f>
        <v>-0.19269146199155995</v>
      </c>
      <c r="AT97" s="519">
        <f>EXP(AR97)</f>
        <v>0.65577603320122535</v>
      </c>
      <c r="AU97" s="519">
        <f>EXP(AS97)</f>
        <v>0.82473639741301052</v>
      </c>
      <c r="AV97" s="76"/>
      <c r="AW97" s="77"/>
      <c r="AX97" s="78">
        <f>AA97</f>
        <v>0.82602712915729215</v>
      </c>
      <c r="AY97" s="56">
        <f>SUM(AY94:AY96)</f>
        <v>3</v>
      </c>
      <c r="AZ97" s="79">
        <f>(AX97-(AY97-1))/AX97</f>
        <v>-1.4212279832024255</v>
      </c>
      <c r="BA97" s="80" t="str">
        <f>IF(AA97&lt;AB97-1,"0%",AZ97)</f>
        <v>0%</v>
      </c>
      <c r="BB97" s="77"/>
      <c r="BC97" s="63">
        <f>AX97/(AY97-1)</f>
        <v>0.41301356457864608</v>
      </c>
      <c r="BD97" s="81">
        <f>LN(BC97)</f>
        <v>-0.88427484254436495</v>
      </c>
      <c r="BE97" s="63">
        <f>LN(AX97)</f>
        <v>-0.19112766198441969</v>
      </c>
      <c r="BF97" s="63">
        <f>LN(AY97-1)</f>
        <v>0.69314718055994529</v>
      </c>
      <c r="BG97" s="63">
        <f>SQRT(2*AX97)</f>
        <v>1.2853226281033818</v>
      </c>
      <c r="BH97" s="63">
        <f>SQRT(2*AY97-3)</f>
        <v>1.7320508075688772</v>
      </c>
      <c r="BI97" s="63">
        <f>2*(AY97-2)</f>
        <v>2</v>
      </c>
      <c r="BJ97" s="63">
        <f>3*(AY97-2)^2</f>
        <v>3</v>
      </c>
      <c r="BK97" s="63">
        <f>1/BI97</f>
        <v>0.5</v>
      </c>
      <c r="BL97" s="82">
        <f>1/BJ97</f>
        <v>0.33333333333333331</v>
      </c>
      <c r="BM97" s="82">
        <f>SQRT(BK97*(1-BL97))</f>
        <v>0.57735026918962584</v>
      </c>
      <c r="BN97" s="83">
        <f>0.5*(BE97-BF97)/(BG97-BH97)</f>
        <v>0.98972359836622426</v>
      </c>
      <c r="BO97" s="83">
        <f>IF(AA97&lt;=AB97,BM97,BN97)</f>
        <v>0.57735026918962584</v>
      </c>
      <c r="BP97" s="70">
        <f>BD97-(1.96*BO97)</f>
        <v>-2.0158813701560314</v>
      </c>
      <c r="BQ97" s="70">
        <f>BD97+(1.96*BO97)</f>
        <v>0.24733168506730174</v>
      </c>
      <c r="BR97" s="70"/>
      <c r="BS97" s="81">
        <f>EXP(BP97)</f>
        <v>0.13320295050855743</v>
      </c>
      <c r="BT97" s="81">
        <f>EXP(BQ97)</f>
        <v>1.2806037995006787</v>
      </c>
      <c r="BU97" s="84" t="str">
        <f>BA97</f>
        <v>0%</v>
      </c>
      <c r="BV97" s="84">
        <f>(BS97-1)/BS97</f>
        <v>-6.5073412126539676</v>
      </c>
      <c r="BW97" s="84">
        <f>(BT97-1)/BT97</f>
        <v>0.21911835620828954</v>
      </c>
    </row>
    <row r="98" spans="1:75" ht="13.5" thickBot="1">
      <c r="A98" s="424"/>
      <c r="C98" s="545"/>
      <c r="D98" s="85"/>
      <c r="E98" s="85"/>
      <c r="F98" s="545">
        <f>F97/H97</f>
        <v>0.16969696969696971</v>
      </c>
      <c r="G98" s="85"/>
      <c r="H98" s="85"/>
      <c r="I98" s="86"/>
      <c r="R98" s="87"/>
      <c r="S98" s="87"/>
      <c r="T98" s="87"/>
      <c r="U98" s="87"/>
      <c r="V98" s="87"/>
      <c r="W98" s="87"/>
      <c r="X98" s="87"/>
      <c r="AB98" s="88"/>
      <c r="AC98" s="89"/>
      <c r="AD98" s="90"/>
      <c r="AE98" s="89"/>
      <c r="AF98" s="91"/>
      <c r="AG98" s="91"/>
      <c r="AH98" s="91"/>
      <c r="AI98" s="91"/>
      <c r="AT98" s="92"/>
      <c r="AU98" s="92"/>
      <c r="AV98" s="92"/>
      <c r="AX98" s="5" t="s">
        <v>56</v>
      </c>
      <c r="BG98" s="11"/>
      <c r="BN98" s="89" t="s">
        <v>57</v>
      </c>
      <c r="BT98" s="93" t="s">
        <v>58</v>
      </c>
      <c r="BU98" s="504" t="str">
        <f>BU97</f>
        <v>0%</v>
      </c>
      <c r="BV98" s="504" t="str">
        <f>IF(BV97&lt;0,"0%",BV97)</f>
        <v>0%</v>
      </c>
      <c r="BW98" s="505">
        <f>IF(BW97&lt;0,"0%",BW97)</f>
        <v>0.21911835620828954</v>
      </c>
    </row>
    <row r="99" spans="1:75" s="15" customFormat="1" ht="26.5" thickBot="1">
      <c r="A99" s="569"/>
      <c r="B99" s="570"/>
      <c r="C99" s="571"/>
      <c r="D99" s="571"/>
      <c r="E99" s="571"/>
      <c r="F99" s="571"/>
      <c r="G99" s="571"/>
      <c r="H99" s="571"/>
      <c r="I99" s="573"/>
      <c r="J99" s="570"/>
      <c r="K99" s="570"/>
      <c r="R99" s="574"/>
      <c r="S99" s="574"/>
      <c r="T99" s="574"/>
      <c r="U99" s="574"/>
      <c r="V99" s="574"/>
      <c r="W99" s="574"/>
      <c r="X99" s="574"/>
      <c r="AI99" s="575"/>
      <c r="AJ99" s="576"/>
      <c r="AK99" s="576"/>
      <c r="AL99" s="577"/>
      <c r="AM99" s="578"/>
      <c r="AO99" s="100" t="s">
        <v>59</v>
      </c>
      <c r="AP99" s="101">
        <f>TINV((1-$H$1),(AB97-2))</f>
        <v>12.706204736174694</v>
      </c>
      <c r="AR99" s="579" t="s">
        <v>60</v>
      </c>
      <c r="AS99" s="102">
        <f>$H$1</f>
        <v>0.95</v>
      </c>
      <c r="AT99" s="507">
        <f>EXP(AM97-AP99*SQRT((1/AD97)+AH97))</f>
        <v>0.34980135527958761</v>
      </c>
      <c r="AU99" s="507">
        <f>EXP(AM97+AP99*SQRT((1/AD97)+AH97))</f>
        <v>1.5461381605072271</v>
      </c>
      <c r="AV99" s="17"/>
      <c r="AX99" s="103">
        <f>_xlfn.CHISQ.DIST.RT(AX97,AY97-1)</f>
        <v>0.66165330771864772</v>
      </c>
      <c r="AY99" s="104" t="str">
        <f>IF(AX99&lt;0.05,"heterogeneidad","homogeneidad")</f>
        <v>homogeneidad</v>
      </c>
      <c r="BF99" s="580"/>
      <c r="BG99" s="575"/>
      <c r="BH99" s="575"/>
      <c r="BJ99" s="581"/>
      <c r="BL99" s="575"/>
      <c r="BM99" s="582"/>
      <c r="BQ99" s="575"/>
    </row>
    <row r="100" spans="1:75" ht="14.5">
      <c r="A100" s="424"/>
      <c r="B100" s="5"/>
      <c r="C100" s="94"/>
      <c r="D100" s="94"/>
      <c r="E100" s="94"/>
      <c r="F100" s="94"/>
      <c r="G100" s="94"/>
      <c r="H100" s="94"/>
      <c r="I100" s="95"/>
      <c r="J100" s="5"/>
      <c r="K100" s="5"/>
      <c r="R100" s="96"/>
      <c r="S100" s="96"/>
      <c r="T100" s="96"/>
      <c r="U100" s="96"/>
      <c r="V100" s="96"/>
      <c r="W100" s="96"/>
      <c r="X100" s="96"/>
      <c r="AF100" s="1"/>
      <c r="AI100" s="11"/>
      <c r="AJ100" s="97"/>
      <c r="AK100" s="97"/>
      <c r="AL100" s="98"/>
      <c r="AM100" s="99"/>
      <c r="AN100" s="107"/>
      <c r="AO100" s="108"/>
      <c r="AP100" s="14"/>
      <c r="AS100" s="109"/>
      <c r="AT100" s="17"/>
      <c r="AU100" s="17"/>
      <c r="AV100" s="17"/>
      <c r="BF100" s="105"/>
      <c r="BG100" s="11"/>
      <c r="BH100" s="11"/>
      <c r="BJ100" s="44"/>
      <c r="BL100" s="11"/>
      <c r="BM100" s="110"/>
      <c r="BQ100" s="11"/>
    </row>
    <row r="101" spans="1:75" ht="13" customHeight="1">
      <c r="A101" s="424"/>
      <c r="C101" s="85"/>
      <c r="D101" s="85"/>
      <c r="E101" s="85"/>
      <c r="F101" s="85"/>
      <c r="G101" s="85"/>
      <c r="H101" s="85"/>
      <c r="I101" s="86"/>
      <c r="J101" s="619" t="s">
        <v>4</v>
      </c>
      <c r="K101" s="620"/>
      <c r="L101" s="620"/>
      <c r="M101" s="620"/>
      <c r="N101" s="620"/>
      <c r="O101" s="620"/>
      <c r="P101" s="620"/>
      <c r="Q101" s="620"/>
      <c r="R101" s="620"/>
      <c r="S101" s="620"/>
      <c r="T101" s="620"/>
      <c r="U101" s="620"/>
      <c r="V101" s="620"/>
      <c r="W101" s="621"/>
      <c r="X101" s="12"/>
      <c r="Y101" s="619" t="s">
        <v>5</v>
      </c>
      <c r="Z101" s="620"/>
      <c r="AA101" s="620"/>
      <c r="AB101" s="620"/>
      <c r="AC101" s="620"/>
      <c r="AD101" s="620"/>
      <c r="AE101" s="620"/>
      <c r="AF101" s="620"/>
      <c r="AG101" s="620"/>
      <c r="AH101" s="620"/>
      <c r="AI101" s="620"/>
      <c r="AJ101" s="620"/>
      <c r="AK101" s="620"/>
      <c r="AL101" s="620"/>
      <c r="AM101" s="620"/>
      <c r="AN101" s="620"/>
      <c r="AO101" s="620"/>
      <c r="AP101" s="620"/>
      <c r="AQ101" s="620"/>
      <c r="AR101" s="620"/>
      <c r="AS101" s="620"/>
      <c r="AT101" s="620"/>
      <c r="AU101" s="621"/>
      <c r="AV101" s="12"/>
      <c r="AW101" s="619" t="s">
        <v>229</v>
      </c>
      <c r="AX101" s="620"/>
      <c r="AY101" s="620"/>
      <c r="AZ101" s="620"/>
      <c r="BA101" s="620"/>
      <c r="BB101" s="620"/>
      <c r="BC101" s="620"/>
      <c r="BD101" s="620"/>
      <c r="BE101" s="620"/>
      <c r="BF101" s="620"/>
      <c r="BG101" s="620"/>
      <c r="BH101" s="620"/>
      <c r="BI101" s="620"/>
      <c r="BJ101" s="620"/>
      <c r="BK101" s="620"/>
      <c r="BL101" s="620"/>
      <c r="BM101" s="620"/>
      <c r="BN101" s="620"/>
      <c r="BO101" s="620"/>
      <c r="BP101" s="620"/>
      <c r="BQ101" s="620"/>
      <c r="BR101" s="620"/>
      <c r="BS101" s="620"/>
      <c r="BT101" s="620"/>
      <c r="BU101" s="620"/>
      <c r="BV101" s="620"/>
      <c r="BW101" s="621"/>
    </row>
    <row r="102" spans="1:75">
      <c r="A102" s="548" t="s">
        <v>480</v>
      </c>
      <c r="B102" s="13" t="s">
        <v>6</v>
      </c>
      <c r="C102" s="618" t="s">
        <v>7</v>
      </c>
      <c r="D102" s="618"/>
      <c r="E102" s="618"/>
      <c r="F102" s="618" t="s">
        <v>8</v>
      </c>
      <c r="G102" s="618"/>
      <c r="H102" s="618"/>
      <c r="I102" s="14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</row>
    <row r="103" spans="1:75" ht="60">
      <c r="A103" s="568" t="s">
        <v>375</v>
      </c>
      <c r="B103" s="559" t="s">
        <v>385</v>
      </c>
      <c r="C103" s="560" t="s">
        <v>9</v>
      </c>
      <c r="D103" s="560" t="s">
        <v>10</v>
      </c>
      <c r="E103" s="560" t="s">
        <v>11</v>
      </c>
      <c r="F103" s="560" t="s">
        <v>9</v>
      </c>
      <c r="G103" s="560" t="s">
        <v>10</v>
      </c>
      <c r="H103" s="560" t="s">
        <v>11</v>
      </c>
      <c r="I103" s="17"/>
      <c r="K103" s="18" t="s">
        <v>12</v>
      </c>
      <c r="L103" s="18" t="s">
        <v>13</v>
      </c>
      <c r="M103" s="18" t="s">
        <v>14</v>
      </c>
      <c r="N103" s="19" t="s">
        <v>15</v>
      </c>
      <c r="O103" s="19" t="s">
        <v>16</v>
      </c>
      <c r="P103" s="19" t="s">
        <v>17</v>
      </c>
      <c r="Q103" s="495" t="s">
        <v>18</v>
      </c>
      <c r="R103" s="495" t="s">
        <v>19</v>
      </c>
      <c r="S103" s="496" t="s">
        <v>3</v>
      </c>
      <c r="T103" s="495" t="s">
        <v>20</v>
      </c>
      <c r="U103" s="495" t="s">
        <v>21</v>
      </c>
      <c r="V103" s="495" t="s">
        <v>22</v>
      </c>
      <c r="W103" s="495" t="s">
        <v>22</v>
      </c>
      <c r="X103" s="20"/>
      <c r="Y103" s="21"/>
      <c r="Z103" s="22" t="s">
        <v>23</v>
      </c>
      <c r="AA103" s="19" t="s">
        <v>24</v>
      </c>
      <c r="AB103" s="3" t="s">
        <v>25</v>
      </c>
      <c r="AC103" s="3" t="s">
        <v>26</v>
      </c>
      <c r="AD103" s="3" t="s">
        <v>27</v>
      </c>
      <c r="AE103" s="19" t="s">
        <v>28</v>
      </c>
      <c r="AF103" s="19" t="s">
        <v>29</v>
      </c>
      <c r="AG103" s="23" t="s">
        <v>30</v>
      </c>
      <c r="AH103" s="23" t="s">
        <v>31</v>
      </c>
      <c r="AI103" s="3" t="s">
        <v>32</v>
      </c>
      <c r="AJ103" s="19" t="s">
        <v>33</v>
      </c>
      <c r="AK103" s="19" t="s">
        <v>34</v>
      </c>
      <c r="AL103" s="19" t="s">
        <v>35</v>
      </c>
      <c r="AM103" s="3" t="s">
        <v>36</v>
      </c>
      <c r="AN103" s="496" t="s">
        <v>37</v>
      </c>
      <c r="AO103" s="19" t="s">
        <v>38</v>
      </c>
      <c r="AP103" s="19" t="s">
        <v>39</v>
      </c>
      <c r="AQ103" s="3" t="s">
        <v>3</v>
      </c>
      <c r="AR103" s="19" t="s">
        <v>40</v>
      </c>
      <c r="AS103" s="19" t="s">
        <v>41</v>
      </c>
      <c r="AT103" s="495" t="s">
        <v>22</v>
      </c>
      <c r="AU103" s="495" t="s">
        <v>22</v>
      </c>
      <c r="AV103" s="20"/>
      <c r="AX103" s="24" t="s">
        <v>42</v>
      </c>
      <c r="AY103" s="24" t="s">
        <v>25</v>
      </c>
      <c r="AZ103" s="25" t="s">
        <v>61</v>
      </c>
      <c r="BA103" s="26" t="s">
        <v>62</v>
      </c>
      <c r="BC103" s="3" t="s">
        <v>63</v>
      </c>
      <c r="BD103" s="3" t="s">
        <v>64</v>
      </c>
      <c r="BE103" s="3" t="s">
        <v>43</v>
      </c>
      <c r="BF103" s="3" t="s">
        <v>44</v>
      </c>
      <c r="BG103" s="3" t="s">
        <v>45</v>
      </c>
      <c r="BH103" s="3" t="s">
        <v>46</v>
      </c>
      <c r="BI103" s="3" t="s">
        <v>47</v>
      </c>
      <c r="BJ103" s="3" t="s">
        <v>65</v>
      </c>
      <c r="BK103" s="3" t="s">
        <v>48</v>
      </c>
      <c r="BL103" s="3" t="s">
        <v>49</v>
      </c>
      <c r="BM103" s="27" t="s">
        <v>66</v>
      </c>
      <c r="BN103" s="27" t="s">
        <v>67</v>
      </c>
      <c r="BO103" s="27" t="s">
        <v>68</v>
      </c>
      <c r="BP103" s="27" t="s">
        <v>69</v>
      </c>
      <c r="BQ103" s="27" t="s">
        <v>70</v>
      </c>
      <c r="BR103" s="28"/>
      <c r="BS103" s="19" t="s">
        <v>71</v>
      </c>
      <c r="BT103" s="19" t="s">
        <v>72</v>
      </c>
      <c r="BU103" s="495" t="s">
        <v>226</v>
      </c>
      <c r="BV103" s="495" t="s">
        <v>227</v>
      </c>
      <c r="BW103" s="495" t="s">
        <v>228</v>
      </c>
    </row>
    <row r="104" spans="1:75">
      <c r="A104" s="424"/>
      <c r="B104" s="561" t="s">
        <v>231</v>
      </c>
      <c r="C104" s="562">
        <v>93</v>
      </c>
      <c r="D104" s="563">
        <f>E104-C104</f>
        <v>1205</v>
      </c>
      <c r="E104" s="564">
        <v>1298</v>
      </c>
      <c r="F104" s="562">
        <v>146</v>
      </c>
      <c r="G104" s="563">
        <f>H104-F104</f>
        <v>1161</v>
      </c>
      <c r="H104" s="564">
        <v>1307</v>
      </c>
      <c r="I104" s="33"/>
      <c r="K104" s="34">
        <f>(C104/E104)/(F104/H104)</f>
        <v>0.64140300145640283</v>
      </c>
      <c r="L104" s="35">
        <f>(D104/(C104*E104)+(G104/(F104*H104)))</f>
        <v>1.606647627479639E-2</v>
      </c>
      <c r="M104" s="36">
        <f>1/L104</f>
        <v>62.241401468267689</v>
      </c>
      <c r="N104" s="37">
        <f>LN(K104)</f>
        <v>-0.44409731219489396</v>
      </c>
      <c r="O104" s="37">
        <f>M104*N104</f>
        <v>-27.641239099301007</v>
      </c>
      <c r="P104" s="37">
        <f>LN(K104)</f>
        <v>-0.44409731219489396</v>
      </c>
      <c r="Q104" s="38">
        <f>K104</f>
        <v>0.64140300145640283</v>
      </c>
      <c r="R104" s="39">
        <f>SQRT(1/M104)</f>
        <v>0.12675360458305077</v>
      </c>
      <c r="S104" s="320">
        <f>$H$2</f>
        <v>1.9599639845400536</v>
      </c>
      <c r="T104" s="41">
        <f>P104-(R104*S104)</f>
        <v>-0.69252981208830455</v>
      </c>
      <c r="U104" s="41">
        <f>P104+(R104*S104)</f>
        <v>-0.19566481230148339</v>
      </c>
      <c r="V104" s="319">
        <f>EXP(T104)</f>
        <v>0.50030877954138975</v>
      </c>
      <c r="W104" s="319">
        <f>EXP(U104)</f>
        <v>0.82228780924930389</v>
      </c>
      <c r="X104" s="44"/>
      <c r="Z104" s="45">
        <f>(N104-P106)^2</f>
        <v>7.2045235816669082E-3</v>
      </c>
      <c r="AA104" s="46">
        <f>M104*Z104</f>
        <v>0.44841964463413192</v>
      </c>
      <c r="AB104" s="2">
        <v>1</v>
      </c>
      <c r="AC104" s="28"/>
      <c r="AD104" s="28"/>
      <c r="AE104" s="36">
        <f>M104^2</f>
        <v>3873.992056734075</v>
      </c>
      <c r="AF104" s="47"/>
      <c r="AG104" s="48">
        <f>AG106</f>
        <v>-2.2829083823812163E-3</v>
      </c>
      <c r="AH104" s="48" t="str">
        <f>AH106</f>
        <v>0</v>
      </c>
      <c r="AI104" s="46">
        <f>1/M104</f>
        <v>1.606647627479639E-2</v>
      </c>
      <c r="AJ104" s="49">
        <f>1/(AH104+AI104)</f>
        <v>62.241401468267689</v>
      </c>
      <c r="AK104" s="50">
        <f>AJ104/AJ106</f>
        <v>0.47250672044677561</v>
      </c>
      <c r="AL104" s="51">
        <f>AJ104*N104</f>
        <v>-27.641239099301007</v>
      </c>
      <c r="AM104" s="51">
        <f>AL104/AJ104</f>
        <v>-0.44409731219489396</v>
      </c>
      <c r="AN104" s="319">
        <f>EXP(AM104)</f>
        <v>0.64140300145640283</v>
      </c>
      <c r="AO104" s="38">
        <f>1/AJ104</f>
        <v>1.606647627479639E-2</v>
      </c>
      <c r="AP104" s="319">
        <f>SQRT(AO104)</f>
        <v>0.12675360458305077</v>
      </c>
      <c r="AQ104" s="320">
        <f>$H$2</f>
        <v>1.9599639845400536</v>
      </c>
      <c r="AR104" s="41">
        <f>AM104-(AQ104*AP104)</f>
        <v>-0.69252981208830455</v>
      </c>
      <c r="AS104" s="41">
        <f>AM104+(1.96*AP104)</f>
        <v>-0.19566024721211445</v>
      </c>
      <c r="AT104" s="53">
        <f>EXP(AR104)</f>
        <v>0.50030877954138975</v>
      </c>
      <c r="AU104" s="53">
        <f>EXP(AS104)</f>
        <v>0.82229156307520834</v>
      </c>
      <c r="AV104" s="17"/>
      <c r="AX104" s="54"/>
      <c r="AY104" s="54">
        <v>1</v>
      </c>
      <c r="AZ104" s="55"/>
      <c r="BA104" s="55"/>
      <c r="BC104" s="28"/>
      <c r="BD104" s="28"/>
      <c r="BE104" s="2"/>
      <c r="BF104" s="2"/>
      <c r="BG104" s="2"/>
      <c r="BH104" s="2"/>
      <c r="BI104" s="2"/>
      <c r="BJ104" s="2"/>
      <c r="BK104" s="2"/>
      <c r="BL104" s="2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</row>
    <row r="105" spans="1:75">
      <c r="A105" s="424"/>
      <c r="B105" s="561" t="s">
        <v>230</v>
      </c>
      <c r="C105" s="562">
        <v>106</v>
      </c>
      <c r="D105" s="563">
        <f t="shared" ref="D105" si="259">E105-C105</f>
        <v>830</v>
      </c>
      <c r="E105" s="564">
        <v>936</v>
      </c>
      <c r="F105" s="562">
        <v>141</v>
      </c>
      <c r="G105" s="563">
        <f t="shared" ref="G105" si="260">H105-F105</f>
        <v>797</v>
      </c>
      <c r="H105" s="564">
        <v>938</v>
      </c>
      <c r="I105" s="33"/>
      <c r="K105" s="34">
        <f t="shared" ref="K105" si="261">(C105/E105)/(F105/H105)</f>
        <v>0.75337940231557243</v>
      </c>
      <c r="L105" s="35">
        <f t="shared" ref="L105" si="262">(D105/(C105*E105)+(G105/(F105*H105)))</f>
        <v>1.4391686696311703E-2</v>
      </c>
      <c r="M105" s="36">
        <f t="shared" ref="M105" si="263">1/L105</f>
        <v>69.484558766574565</v>
      </c>
      <c r="N105" s="37">
        <f t="shared" ref="N105" si="264">LN(K105)</f>
        <v>-0.28318632373746866</v>
      </c>
      <c r="O105" s="37">
        <f t="shared" ref="O105" si="265">M105*N105</f>
        <v>-19.677076753626352</v>
      </c>
      <c r="P105" s="37">
        <f t="shared" ref="P105" si="266">LN(K105)</f>
        <v>-0.28318632373746866</v>
      </c>
      <c r="Q105" s="38">
        <f t="shared" ref="Q105" si="267">K105</f>
        <v>0.75337940231557243</v>
      </c>
      <c r="R105" s="39">
        <f t="shared" ref="R105" si="268">SQRT(1/M105)</f>
        <v>0.11996535623383821</v>
      </c>
      <c r="S105" s="320">
        <f t="shared" ref="S105:S106" si="269">$H$2</f>
        <v>1.9599639845400536</v>
      </c>
      <c r="T105" s="41">
        <f t="shared" ref="T105" si="270">P105-(R105*S105)</f>
        <v>-0.51831410134830913</v>
      </c>
      <c r="U105" s="41">
        <f t="shared" ref="U105" si="271">P105+(R105*S105)</f>
        <v>-4.805854612662816E-2</v>
      </c>
      <c r="V105" s="319">
        <f t="shared" ref="V105:W105" si="272">EXP(T105)</f>
        <v>0.59552369472470046</v>
      </c>
      <c r="W105" s="319">
        <f t="shared" si="272"/>
        <v>0.95307798641958508</v>
      </c>
      <c r="X105" s="44"/>
      <c r="Z105" s="45">
        <f>(N105-P106)^2</f>
        <v>5.7807925565870402E-3</v>
      </c>
      <c r="AA105" s="46">
        <f t="shared" ref="AA105" si="273">M105*Z105</f>
        <v>0.40167582011554903</v>
      </c>
      <c r="AB105" s="2">
        <v>1</v>
      </c>
      <c r="AC105" s="28"/>
      <c r="AD105" s="28"/>
      <c r="AE105" s="36">
        <f t="shared" ref="AE105" si="274">M105^2</f>
        <v>4828.1039069855542</v>
      </c>
      <c r="AF105" s="47"/>
      <c r="AG105" s="48">
        <f>AG106</f>
        <v>-2.2829083823812163E-3</v>
      </c>
      <c r="AH105" s="48" t="str">
        <f>AH106</f>
        <v>0</v>
      </c>
      <c r="AI105" s="46">
        <f t="shared" ref="AI105" si="275">1/M105</f>
        <v>1.4391686696311705E-2</v>
      </c>
      <c r="AJ105" s="49">
        <f t="shared" ref="AJ105" si="276">1/(AH105+AI105)</f>
        <v>69.484558766574565</v>
      </c>
      <c r="AK105" s="50">
        <f>AJ105/AJ106</f>
        <v>0.52749327955322434</v>
      </c>
      <c r="AL105" s="51">
        <f t="shared" ref="AL105" si="277">AJ105*N105</f>
        <v>-19.677076753626352</v>
      </c>
      <c r="AM105" s="51">
        <f t="shared" ref="AM105" si="278">AL105/AJ105</f>
        <v>-0.28318632373746866</v>
      </c>
      <c r="AN105" s="319">
        <f t="shared" ref="AN105" si="279">EXP(AM105)</f>
        <v>0.75337940231557243</v>
      </c>
      <c r="AO105" s="38">
        <f t="shared" ref="AO105" si="280">1/AJ105</f>
        <v>1.4391686696311705E-2</v>
      </c>
      <c r="AP105" s="319">
        <f t="shared" ref="AP105" si="281">SQRT(AO105)</f>
        <v>0.11996535623383821</v>
      </c>
      <c r="AQ105" s="320">
        <f t="shared" ref="AQ105:AQ106" si="282">$H$2</f>
        <v>1.9599639845400536</v>
      </c>
      <c r="AR105" s="41">
        <f t="shared" ref="AR105" si="283">AM105-(AQ105*AP105)</f>
        <v>-0.51831410134830913</v>
      </c>
      <c r="AS105" s="41">
        <f t="shared" ref="AS105" si="284">AM105+(1.96*AP105)</f>
        <v>-4.8054225519145788E-2</v>
      </c>
      <c r="AT105" s="53">
        <f t="shared" ref="AT105:AU105" si="285">EXP(AR105)</f>
        <v>0.59552369472470046</v>
      </c>
      <c r="AU105" s="53">
        <f t="shared" si="285"/>
        <v>0.95308210430436036</v>
      </c>
      <c r="AV105" s="17"/>
      <c r="AX105" s="54"/>
      <c r="AY105" s="54">
        <v>1</v>
      </c>
      <c r="AZ105" s="55"/>
      <c r="BA105" s="55"/>
      <c r="BC105" s="28"/>
      <c r="BD105" s="28"/>
      <c r="BE105" s="2"/>
      <c r="BF105" s="2"/>
      <c r="BG105" s="2"/>
      <c r="BH105" s="2"/>
      <c r="BI105" s="2"/>
      <c r="BJ105" s="2"/>
      <c r="BK105" s="2"/>
      <c r="BL105" s="2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</row>
    <row r="106" spans="1:75">
      <c r="A106" s="424"/>
      <c r="B106" s="56">
        <f>COUNT(D104:D105)</f>
        <v>2</v>
      </c>
      <c r="C106" s="57">
        <f t="shared" ref="C106:H106" si="286">SUM(C104:C105)</f>
        <v>199</v>
      </c>
      <c r="D106" s="57">
        <f t="shared" si="286"/>
        <v>2035</v>
      </c>
      <c r="E106" s="57">
        <f t="shared" si="286"/>
        <v>2234</v>
      </c>
      <c r="F106" s="57">
        <f t="shared" si="286"/>
        <v>287</v>
      </c>
      <c r="G106" s="57">
        <f t="shared" si="286"/>
        <v>1958</v>
      </c>
      <c r="H106" s="57">
        <f t="shared" si="286"/>
        <v>2245</v>
      </c>
      <c r="I106" s="58"/>
      <c r="K106" s="59"/>
      <c r="L106" s="113"/>
      <c r="M106" s="61">
        <f>SUM(M104:M105)</f>
        <v>131.72596023484226</v>
      </c>
      <c r="N106" s="62"/>
      <c r="O106" s="63">
        <f>SUM(O104:O105)</f>
        <v>-47.318315852927356</v>
      </c>
      <c r="P106" s="64">
        <f>O106/M106</f>
        <v>-0.35921784717733563</v>
      </c>
      <c r="Q106" s="497">
        <f>EXP(P106)</f>
        <v>0.69822222904071762</v>
      </c>
      <c r="R106" s="497">
        <f>SQRT(1/M106)</f>
        <v>8.7129317762392536E-2</v>
      </c>
      <c r="S106" s="520">
        <f t="shared" si="269"/>
        <v>1.9599639845400536</v>
      </c>
      <c r="T106" s="499">
        <f>P106-(R106*S106)</f>
        <v>-0.52998817198917103</v>
      </c>
      <c r="U106" s="499">
        <f>P106+(R106*S106)</f>
        <v>-0.18844752236550028</v>
      </c>
      <c r="V106" s="497">
        <f>EXP(T106)</f>
        <v>0.58861193174548421</v>
      </c>
      <c r="W106" s="497">
        <f>EXP(U106)</f>
        <v>0.82824396658236554</v>
      </c>
      <c r="X106" s="66"/>
      <c r="Y106" s="66"/>
      <c r="Z106" s="67"/>
      <c r="AA106" s="68">
        <f>SUM(AA104:AA105)</f>
        <v>0.85009546474968101</v>
      </c>
      <c r="AB106" s="69">
        <f>SUM(AB104:AB105)</f>
        <v>2</v>
      </c>
      <c r="AC106" s="70">
        <f>AA106-(AB106-1)</f>
        <v>-0.14990453525031899</v>
      </c>
      <c r="AD106" s="61">
        <f>M106</f>
        <v>131.72596023484226</v>
      </c>
      <c r="AE106" s="61">
        <f>SUM(AE104:AE105)</f>
        <v>8702.0959637196283</v>
      </c>
      <c r="AF106" s="71">
        <f>AE106/AD106</f>
        <v>66.062118265871447</v>
      </c>
      <c r="AG106" s="72">
        <f>AC106/(AD106-AF106)</f>
        <v>-2.2829083823812163E-3</v>
      </c>
      <c r="AH106" s="72" t="str">
        <f>IF(AA106&lt;AB106-1,"0",AG106)</f>
        <v>0</v>
      </c>
      <c r="AI106" s="67"/>
      <c r="AJ106" s="61">
        <f>SUM(AJ104:AJ105)</f>
        <v>131.72596023484226</v>
      </c>
      <c r="AK106" s="73">
        <f>SUM(AK104:AK105)</f>
        <v>1</v>
      </c>
      <c r="AL106" s="70">
        <f>SUM(AL104:AL105)</f>
        <v>-47.318315852927356</v>
      </c>
      <c r="AM106" s="70">
        <f>AL106/AJ106</f>
        <v>-0.35921784717733563</v>
      </c>
      <c r="AN106" s="497">
        <f>EXP(AM106)</f>
        <v>0.69822222904071762</v>
      </c>
      <c r="AO106" s="64">
        <f>1/AJ106</f>
        <v>7.5915180137399703E-3</v>
      </c>
      <c r="AP106" s="63">
        <f>SQRT(AO106)</f>
        <v>8.7129317762392536E-2</v>
      </c>
      <c r="AQ106" s="320">
        <f t="shared" si="282"/>
        <v>1.9599639845400536</v>
      </c>
      <c r="AR106" s="65">
        <f>AM106-(AQ106*AP106)</f>
        <v>-0.52998817198917103</v>
      </c>
      <c r="AS106" s="65">
        <f>AM106+(1.96*AP106)</f>
        <v>-0.18844438436304625</v>
      </c>
      <c r="AT106" s="519">
        <f>EXP(AR106)</f>
        <v>0.58861193174548421</v>
      </c>
      <c r="AU106" s="519">
        <f>EXP(AS106)</f>
        <v>0.82824656561804311</v>
      </c>
      <c r="AV106" s="76"/>
      <c r="AW106" s="77"/>
      <c r="AX106" s="78">
        <f>AA106</f>
        <v>0.85009546474968101</v>
      </c>
      <c r="AY106" s="56">
        <f>SUM(AY104:AY105)</f>
        <v>2</v>
      </c>
      <c r="AZ106" s="79">
        <f>(AX106-(AY106-1))/AX106</f>
        <v>-0.17633847193204338</v>
      </c>
      <c r="BA106" s="80" t="str">
        <f>IF(AA106&lt;AB106-1,"0%",AZ106)</f>
        <v>0%</v>
      </c>
      <c r="BB106" s="77"/>
      <c r="BC106" s="63">
        <f>AX106/(AY106-1)</f>
        <v>0.85009546474968101</v>
      </c>
      <c r="BD106" s="81">
        <f>LN(BC106)</f>
        <v>-0.16240662433402295</v>
      </c>
      <c r="BE106" s="63">
        <f>LN(AX106)</f>
        <v>-0.16240662433402295</v>
      </c>
      <c r="BF106" s="63">
        <f>LN(AY106-1)</f>
        <v>0</v>
      </c>
      <c r="BG106" s="63">
        <f>SQRT(2*AX106)</f>
        <v>1.303913697105511</v>
      </c>
      <c r="BH106" s="63">
        <f>SQRT(2*AY106-3)</f>
        <v>1</v>
      </c>
      <c r="BI106" s="63">
        <f>2*(AY106-2)</f>
        <v>0</v>
      </c>
      <c r="BJ106" s="63">
        <f>3*(AY106-2)^2</f>
        <v>0</v>
      </c>
      <c r="BK106" s="63" t="e">
        <f>1/BI106</f>
        <v>#DIV/0!</v>
      </c>
      <c r="BL106" s="82" t="e">
        <f>1/BJ106</f>
        <v>#DIV/0!</v>
      </c>
      <c r="BM106" s="82" t="e">
        <f>SQRT(BK106*(1-BL106))</f>
        <v>#DIV/0!</v>
      </c>
      <c r="BN106" s="83">
        <f>0.5*(BE106-BF106)/(BG106-BH106)</f>
        <v>-0.26719201187835828</v>
      </c>
      <c r="BO106" s="83" t="e">
        <f>IF(AA106&lt;=AB106,BM106,BN106)</f>
        <v>#DIV/0!</v>
      </c>
      <c r="BP106" s="70" t="e">
        <f>BD106-(1.96*BO106)</f>
        <v>#DIV/0!</v>
      </c>
      <c r="BQ106" s="70" t="e">
        <f>BD106+(1.96*BO106)</f>
        <v>#DIV/0!</v>
      </c>
      <c r="BR106" s="70"/>
      <c r="BS106" s="81" t="e">
        <f>EXP(BP106)</f>
        <v>#DIV/0!</v>
      </c>
      <c r="BT106" s="81" t="e">
        <f>EXP(BQ106)</f>
        <v>#DIV/0!</v>
      </c>
      <c r="BU106" s="84" t="str">
        <f>BA106</f>
        <v>0%</v>
      </c>
      <c r="BV106" s="84" t="e">
        <f>(BS106-1)/BS106</f>
        <v>#DIV/0!</v>
      </c>
      <c r="BW106" s="84" t="e">
        <f>(BT106-1)/BT106</f>
        <v>#DIV/0!</v>
      </c>
    </row>
    <row r="107" spans="1:75" ht="13.5" thickBot="1">
      <c r="A107" s="424"/>
      <c r="C107" s="85"/>
      <c r="D107" s="85"/>
      <c r="E107" s="85"/>
      <c r="F107" s="85"/>
      <c r="G107" s="85"/>
      <c r="H107" s="85"/>
      <c r="I107" s="86"/>
      <c r="R107" s="87"/>
      <c r="S107" s="87"/>
      <c r="T107" s="87"/>
      <c r="U107" s="87"/>
      <c r="V107" s="87"/>
      <c r="W107" s="87"/>
      <c r="X107" s="87"/>
      <c r="AB107" s="88"/>
      <c r="AC107" s="89"/>
      <c r="AD107" s="90"/>
      <c r="AE107" s="89"/>
      <c r="AF107" s="91"/>
      <c r="AG107" s="91"/>
      <c r="AH107" s="91"/>
      <c r="AI107" s="91"/>
      <c r="AT107" s="92"/>
      <c r="AU107" s="92"/>
      <c r="AV107" s="92"/>
      <c r="AX107" s="5" t="s">
        <v>56</v>
      </c>
      <c r="BG107" s="11"/>
      <c r="BN107" s="89" t="s">
        <v>57</v>
      </c>
      <c r="BT107" s="93" t="s">
        <v>58</v>
      </c>
      <c r="BU107" s="504" t="str">
        <f>BU106</f>
        <v>0%</v>
      </c>
      <c r="BV107" s="504" t="e">
        <f>IF(BV106&lt;0,"0%",BV106)</f>
        <v>#DIV/0!</v>
      </c>
      <c r="BW107" s="505" t="e">
        <f>IF(BW106&lt;0,"0%",BW106)</f>
        <v>#DIV/0!</v>
      </c>
    </row>
    <row r="108" spans="1:75" s="112" customFormat="1" ht="26.5" thickBot="1">
      <c r="A108" s="583"/>
      <c r="B108" s="5"/>
      <c r="C108" s="94"/>
      <c r="D108" s="94"/>
      <c r="E108" s="94"/>
      <c r="F108" s="94"/>
      <c r="G108" s="94"/>
      <c r="H108" s="94"/>
      <c r="I108" s="95"/>
      <c r="J108" s="5"/>
      <c r="K108" s="5"/>
      <c r="R108" s="584"/>
      <c r="S108" s="584"/>
      <c r="T108" s="584"/>
      <c r="U108" s="584"/>
      <c r="V108" s="584"/>
      <c r="W108" s="584"/>
      <c r="X108" s="584"/>
      <c r="AI108" s="120"/>
      <c r="AJ108" s="86"/>
      <c r="AK108" s="86"/>
      <c r="AL108" s="585"/>
      <c r="AM108" s="586"/>
      <c r="AO108" s="587" t="s">
        <v>59</v>
      </c>
      <c r="AP108" s="101" t="e">
        <f>TINV((1-$H$1),(AB106-2))</f>
        <v>#NUM!</v>
      </c>
      <c r="AR108" s="588" t="s">
        <v>60</v>
      </c>
      <c r="AS108" s="102">
        <f>$H$1</f>
        <v>0.95</v>
      </c>
      <c r="AT108" s="507" t="e">
        <f>EXP(AM106-AP108*SQRT((1/AD106)+AH106))</f>
        <v>#NUM!</v>
      </c>
      <c r="AU108" s="507" t="e">
        <f>EXP(AM106+AP108*SQRT((1/AD106)+AH106))</f>
        <v>#NUM!</v>
      </c>
      <c r="AV108" s="17"/>
      <c r="AX108" s="103">
        <f>_xlfn.CHISQ.DIST.RT(AX106,AY106-1)</f>
        <v>0.35652533265867292</v>
      </c>
      <c r="AY108" s="104" t="str">
        <f>IF(AX108&lt;0.05,"heterogeneidad","homogeneidad")</f>
        <v>homogeneidad</v>
      </c>
      <c r="BF108" s="589"/>
      <c r="BG108" s="120"/>
      <c r="BH108" s="120"/>
      <c r="BJ108" s="342"/>
      <c r="BL108" s="120"/>
      <c r="BM108" s="590"/>
      <c r="BQ108" s="120"/>
    </row>
    <row r="109" spans="1:75" ht="14.5">
      <c r="A109" s="424"/>
      <c r="B109" s="5"/>
      <c r="C109" s="94"/>
      <c r="D109" s="94"/>
      <c r="E109" s="94"/>
      <c r="F109" s="94"/>
      <c r="G109" s="94"/>
      <c r="H109" s="94"/>
      <c r="I109" s="95"/>
      <c r="J109" s="5"/>
      <c r="K109" s="5"/>
      <c r="R109" s="96"/>
      <c r="S109" s="96"/>
      <c r="T109" s="96"/>
      <c r="U109" s="96"/>
      <c r="V109" s="96"/>
      <c r="W109" s="96"/>
      <c r="X109" s="96"/>
      <c r="AF109" s="1"/>
      <c r="AI109" s="11"/>
      <c r="AJ109" s="97"/>
      <c r="AK109" s="97"/>
      <c r="AL109" s="98"/>
      <c r="AM109" s="99"/>
      <c r="AN109" s="107"/>
      <c r="AO109" s="108"/>
      <c r="AP109" s="14"/>
      <c r="AS109" s="109"/>
      <c r="AT109" s="17"/>
      <c r="AU109" s="17"/>
      <c r="AV109" s="17"/>
      <c r="BF109" s="105"/>
      <c r="BG109" s="11"/>
      <c r="BH109" s="11"/>
      <c r="BJ109" s="44"/>
      <c r="BL109" s="11"/>
      <c r="BM109" s="110"/>
      <c r="BQ109" s="11"/>
    </row>
    <row r="110" spans="1:75" ht="13" customHeight="1">
      <c r="A110" s="424"/>
      <c r="C110" s="85"/>
      <c r="D110" s="85"/>
      <c r="E110" s="85"/>
      <c r="F110" s="85"/>
      <c r="G110" s="85"/>
      <c r="H110" s="85"/>
      <c r="I110" s="86"/>
      <c r="J110" s="619" t="s">
        <v>4</v>
      </c>
      <c r="K110" s="620"/>
      <c r="L110" s="620"/>
      <c r="M110" s="620"/>
      <c r="N110" s="620"/>
      <c r="O110" s="620"/>
      <c r="P110" s="620"/>
      <c r="Q110" s="620"/>
      <c r="R110" s="620"/>
      <c r="S110" s="620"/>
      <c r="T110" s="620"/>
      <c r="U110" s="620"/>
      <c r="V110" s="620"/>
      <c r="W110" s="621"/>
      <c r="X110" s="12"/>
      <c r="Y110" s="619" t="s">
        <v>5</v>
      </c>
      <c r="Z110" s="620"/>
      <c r="AA110" s="620"/>
      <c r="AB110" s="620"/>
      <c r="AC110" s="620"/>
      <c r="AD110" s="620"/>
      <c r="AE110" s="620"/>
      <c r="AF110" s="620"/>
      <c r="AG110" s="620"/>
      <c r="AH110" s="620"/>
      <c r="AI110" s="620"/>
      <c r="AJ110" s="620"/>
      <c r="AK110" s="620"/>
      <c r="AL110" s="620"/>
      <c r="AM110" s="620"/>
      <c r="AN110" s="620"/>
      <c r="AO110" s="620"/>
      <c r="AP110" s="620"/>
      <c r="AQ110" s="620"/>
      <c r="AR110" s="620"/>
      <c r="AS110" s="620"/>
      <c r="AT110" s="620"/>
      <c r="AU110" s="621"/>
      <c r="AV110" s="12"/>
      <c r="AW110" s="619" t="s">
        <v>229</v>
      </c>
      <c r="AX110" s="620"/>
      <c r="AY110" s="620"/>
      <c r="AZ110" s="620"/>
      <c r="BA110" s="620"/>
      <c r="BB110" s="620"/>
      <c r="BC110" s="620"/>
      <c r="BD110" s="620"/>
      <c r="BE110" s="620"/>
      <c r="BF110" s="620"/>
      <c r="BG110" s="620"/>
      <c r="BH110" s="620"/>
      <c r="BI110" s="620"/>
      <c r="BJ110" s="620"/>
      <c r="BK110" s="620"/>
      <c r="BL110" s="620"/>
      <c r="BM110" s="620"/>
      <c r="BN110" s="620"/>
      <c r="BO110" s="620"/>
      <c r="BP110" s="620"/>
      <c r="BQ110" s="620"/>
      <c r="BR110" s="620"/>
      <c r="BS110" s="620"/>
      <c r="BT110" s="620"/>
      <c r="BU110" s="620"/>
      <c r="BV110" s="620"/>
      <c r="BW110" s="621"/>
    </row>
    <row r="111" spans="1:75">
      <c r="A111" s="548" t="s">
        <v>481</v>
      </c>
      <c r="B111" s="13" t="s">
        <v>6</v>
      </c>
      <c r="C111" s="618" t="s">
        <v>7</v>
      </c>
      <c r="D111" s="618"/>
      <c r="E111" s="618"/>
      <c r="F111" s="618" t="s">
        <v>8</v>
      </c>
      <c r="G111" s="618"/>
      <c r="H111" s="618"/>
      <c r="I111" s="14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</row>
    <row r="112" spans="1:75" ht="60">
      <c r="A112" s="568" t="s">
        <v>374</v>
      </c>
      <c r="B112" s="559" t="s">
        <v>386</v>
      </c>
      <c r="C112" s="560" t="s">
        <v>9</v>
      </c>
      <c r="D112" s="560" t="s">
        <v>10</v>
      </c>
      <c r="E112" s="560" t="s">
        <v>11</v>
      </c>
      <c r="F112" s="560" t="s">
        <v>9</v>
      </c>
      <c r="G112" s="560" t="s">
        <v>10</v>
      </c>
      <c r="H112" s="560" t="s">
        <v>11</v>
      </c>
      <c r="I112" s="17"/>
      <c r="K112" s="18" t="s">
        <v>12</v>
      </c>
      <c r="L112" s="18" t="s">
        <v>13</v>
      </c>
      <c r="M112" s="18" t="s">
        <v>14</v>
      </c>
      <c r="N112" s="19" t="s">
        <v>15</v>
      </c>
      <c r="O112" s="19" t="s">
        <v>16</v>
      </c>
      <c r="P112" s="19" t="s">
        <v>17</v>
      </c>
      <c r="Q112" s="495" t="s">
        <v>18</v>
      </c>
      <c r="R112" s="495" t="s">
        <v>19</v>
      </c>
      <c r="S112" s="496" t="s">
        <v>3</v>
      </c>
      <c r="T112" s="495" t="s">
        <v>20</v>
      </c>
      <c r="U112" s="495" t="s">
        <v>21</v>
      </c>
      <c r="V112" s="495" t="s">
        <v>22</v>
      </c>
      <c r="W112" s="495" t="s">
        <v>22</v>
      </c>
      <c r="X112" s="20"/>
      <c r="Y112" s="21"/>
      <c r="Z112" s="22" t="s">
        <v>23</v>
      </c>
      <c r="AA112" s="19" t="s">
        <v>24</v>
      </c>
      <c r="AB112" s="3" t="s">
        <v>25</v>
      </c>
      <c r="AC112" s="3" t="s">
        <v>26</v>
      </c>
      <c r="AD112" s="3" t="s">
        <v>27</v>
      </c>
      <c r="AE112" s="19" t="s">
        <v>28</v>
      </c>
      <c r="AF112" s="19" t="s">
        <v>29</v>
      </c>
      <c r="AG112" s="23" t="s">
        <v>30</v>
      </c>
      <c r="AH112" s="23" t="s">
        <v>31</v>
      </c>
      <c r="AI112" s="3" t="s">
        <v>32</v>
      </c>
      <c r="AJ112" s="19" t="s">
        <v>33</v>
      </c>
      <c r="AK112" s="19" t="s">
        <v>34</v>
      </c>
      <c r="AL112" s="19" t="s">
        <v>35</v>
      </c>
      <c r="AM112" s="3" t="s">
        <v>36</v>
      </c>
      <c r="AN112" s="496" t="s">
        <v>37</v>
      </c>
      <c r="AO112" s="19" t="s">
        <v>38</v>
      </c>
      <c r="AP112" s="19" t="s">
        <v>39</v>
      </c>
      <c r="AQ112" s="3" t="s">
        <v>3</v>
      </c>
      <c r="AR112" s="19" t="s">
        <v>40</v>
      </c>
      <c r="AS112" s="19" t="s">
        <v>41</v>
      </c>
      <c r="AT112" s="495" t="s">
        <v>22</v>
      </c>
      <c r="AU112" s="495" t="s">
        <v>22</v>
      </c>
      <c r="AV112" s="20"/>
      <c r="AX112" s="24" t="s">
        <v>42</v>
      </c>
      <c r="AY112" s="24" t="s">
        <v>25</v>
      </c>
      <c r="AZ112" s="25" t="s">
        <v>61</v>
      </c>
      <c r="BA112" s="26" t="s">
        <v>62</v>
      </c>
      <c r="BC112" s="3" t="s">
        <v>63</v>
      </c>
      <c r="BD112" s="3" t="s">
        <v>64</v>
      </c>
      <c r="BE112" s="3" t="s">
        <v>43</v>
      </c>
      <c r="BF112" s="3" t="s">
        <v>44</v>
      </c>
      <c r="BG112" s="3" t="s">
        <v>45</v>
      </c>
      <c r="BH112" s="3" t="s">
        <v>46</v>
      </c>
      <c r="BI112" s="3" t="s">
        <v>47</v>
      </c>
      <c r="BJ112" s="3" t="s">
        <v>65</v>
      </c>
      <c r="BK112" s="3" t="s">
        <v>48</v>
      </c>
      <c r="BL112" s="3" t="s">
        <v>49</v>
      </c>
      <c r="BM112" s="27" t="s">
        <v>66</v>
      </c>
      <c r="BN112" s="27" t="s">
        <v>67</v>
      </c>
      <c r="BO112" s="27" t="s">
        <v>68</v>
      </c>
      <c r="BP112" s="27" t="s">
        <v>69</v>
      </c>
      <c r="BQ112" s="27" t="s">
        <v>70</v>
      </c>
      <c r="BR112" s="28"/>
      <c r="BS112" s="19" t="s">
        <v>71</v>
      </c>
      <c r="BT112" s="19" t="s">
        <v>72</v>
      </c>
      <c r="BU112" s="495" t="s">
        <v>226</v>
      </c>
      <c r="BV112" s="495" t="s">
        <v>227</v>
      </c>
      <c r="BW112" s="495" t="s">
        <v>228</v>
      </c>
    </row>
    <row r="113" spans="1:75">
      <c r="A113" s="424"/>
      <c r="B113" s="561" t="s">
        <v>231</v>
      </c>
      <c r="C113" s="562">
        <v>138</v>
      </c>
      <c r="D113" s="563">
        <f>E113-C113</f>
        <v>937</v>
      </c>
      <c r="E113" s="564">
        <v>1075</v>
      </c>
      <c r="F113" s="562">
        <v>172</v>
      </c>
      <c r="G113" s="563">
        <f>H113-F113</f>
        <v>892</v>
      </c>
      <c r="H113" s="564">
        <v>1064</v>
      </c>
      <c r="I113" s="33"/>
      <c r="K113" s="34">
        <f>(C113/E113)/(F113/H113)</f>
        <v>0.79411573823688475</v>
      </c>
      <c r="L113" s="35">
        <f>(D113/(C113*E113)+(G113/(F113*H113)))</f>
        <v>1.1190248117766611E-2</v>
      </c>
      <c r="M113" s="36">
        <f>1/L113</f>
        <v>89.363523442551113</v>
      </c>
      <c r="N113" s="37">
        <f>LN(K113)</f>
        <v>-0.23052606231642189</v>
      </c>
      <c r="O113" s="37">
        <f>M113*N113</f>
        <v>-20.600621173932566</v>
      </c>
      <c r="P113" s="37">
        <f>LN(K113)</f>
        <v>-0.23052606231642189</v>
      </c>
      <c r="Q113" s="38">
        <f>K113</f>
        <v>0.79411573823688475</v>
      </c>
      <c r="R113" s="39">
        <f>SQRT(1/M113)</f>
        <v>0.10578396909629838</v>
      </c>
      <c r="S113" s="320">
        <f>$H$2</f>
        <v>1.9599639845400536</v>
      </c>
      <c r="T113" s="41">
        <f>P113-(R113*S113)</f>
        <v>-0.43785883188686475</v>
      </c>
      <c r="U113" s="41">
        <f>P113+(R113*S113)</f>
        <v>-2.3193292745979033E-2</v>
      </c>
      <c r="V113" s="319">
        <f>EXP(T113)</f>
        <v>0.64541688871088743</v>
      </c>
      <c r="W113" s="319">
        <f>EXP(U113)</f>
        <v>0.9770736042793523</v>
      </c>
      <c r="X113" s="44"/>
      <c r="Z113" s="45">
        <f>(N113-P115)^2</f>
        <v>4.6557152312914386E-3</v>
      </c>
      <c r="AA113" s="46">
        <f>M113*Z113</f>
        <v>0.41605111721335475</v>
      </c>
      <c r="AB113" s="2">
        <v>1</v>
      </c>
      <c r="AC113" s="28"/>
      <c r="AD113" s="28"/>
      <c r="AE113" s="36">
        <f>M113^2</f>
        <v>7985.8393220673825</v>
      </c>
      <c r="AF113" s="47"/>
      <c r="AG113" s="48">
        <f>AG115</f>
        <v>-2.2584459501884392E-3</v>
      </c>
      <c r="AH113" s="48" t="str">
        <f>AH115</f>
        <v>0</v>
      </c>
      <c r="AI113" s="46">
        <f>1/M113</f>
        <v>1.1190248117766611E-2</v>
      </c>
      <c r="AJ113" s="49">
        <f>1/(AH113+AI113)</f>
        <v>89.363523442551113</v>
      </c>
      <c r="AK113" s="50">
        <f>AJ113/AJ115</f>
        <v>0.47098666057278449</v>
      </c>
      <c r="AL113" s="51">
        <f>AJ113*N113</f>
        <v>-20.600621173932566</v>
      </c>
      <c r="AM113" s="51">
        <f>AL113/AJ113</f>
        <v>-0.23052606231642189</v>
      </c>
      <c r="AN113" s="319">
        <f>EXP(AM113)</f>
        <v>0.79411573823688475</v>
      </c>
      <c r="AO113" s="38">
        <f>1/AJ113</f>
        <v>1.1190248117766611E-2</v>
      </c>
      <c r="AP113" s="319">
        <f>SQRT(AO113)</f>
        <v>0.10578396909629838</v>
      </c>
      <c r="AQ113" s="320">
        <f>$H$2</f>
        <v>1.9599639845400536</v>
      </c>
      <c r="AR113" s="41">
        <f>AM113-(AQ113*AP113)</f>
        <v>-0.43785883188686475</v>
      </c>
      <c r="AS113" s="41">
        <f>AM113+(1.96*AP113)</f>
        <v>-2.3189482887677082E-2</v>
      </c>
      <c r="AT113" s="53">
        <f>EXP(AR113)</f>
        <v>0.64541688871088743</v>
      </c>
      <c r="AU113" s="53">
        <f>EXP(AS113)</f>
        <v>0.9770773267984264</v>
      </c>
      <c r="AV113" s="17"/>
      <c r="AX113" s="54"/>
      <c r="AY113" s="54">
        <v>1</v>
      </c>
      <c r="AZ113" s="55"/>
      <c r="BA113" s="55"/>
      <c r="BC113" s="28"/>
      <c r="BD113" s="28"/>
      <c r="BE113" s="2"/>
      <c r="BF113" s="2"/>
      <c r="BG113" s="2"/>
      <c r="BH113" s="2"/>
      <c r="BI113" s="2"/>
      <c r="BJ113" s="2"/>
      <c r="BK113" s="2"/>
      <c r="BL113" s="2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</row>
    <row r="114" spans="1:75">
      <c r="A114" s="424"/>
      <c r="B114" s="561" t="s">
        <v>230</v>
      </c>
      <c r="C114" s="562">
        <v>140</v>
      </c>
      <c r="D114" s="563">
        <f t="shared" ref="D114" si="287">E114-C114</f>
        <v>787</v>
      </c>
      <c r="E114" s="564">
        <v>927</v>
      </c>
      <c r="F114" s="562">
        <v>201</v>
      </c>
      <c r="G114" s="563">
        <f t="shared" ref="G114" si="288">H114-F114</f>
        <v>728</v>
      </c>
      <c r="H114" s="564">
        <v>929</v>
      </c>
      <c r="I114" s="33"/>
      <c r="K114" s="34">
        <f t="shared" ref="K114" si="289">(C114/E114)/(F114/H114)</f>
        <v>0.69802014737531326</v>
      </c>
      <c r="L114" s="35">
        <f t="shared" ref="L114" si="290">(D114/(C114*E114)+(G114/(F114*H114)))</f>
        <v>9.9628066046015488E-3</v>
      </c>
      <c r="M114" s="36">
        <f t="shared" ref="M114" si="291">1/L114</f>
        <v>100.37332246699712</v>
      </c>
      <c r="N114" s="37">
        <f t="shared" ref="N114" si="292">LN(K114)</f>
        <v>-0.35950731220178811</v>
      </c>
      <c r="O114" s="37">
        <f t="shared" ref="O114" si="293">M114*N114</f>
        <v>-36.08494337687349</v>
      </c>
      <c r="P114" s="37">
        <f t="shared" ref="P114" si="294">LN(K114)</f>
        <v>-0.35950731220178811</v>
      </c>
      <c r="Q114" s="38">
        <f t="shared" ref="Q114" si="295">K114</f>
        <v>0.69802014737531326</v>
      </c>
      <c r="R114" s="39">
        <f t="shared" ref="R114" si="296">SQRT(1/M114)</f>
        <v>9.981385978210415E-2</v>
      </c>
      <c r="S114" s="320">
        <f t="shared" ref="S114:S115" si="297">$H$2</f>
        <v>1.9599639845400536</v>
      </c>
      <c r="T114" s="41">
        <f t="shared" ref="T114" si="298">P114-(R114*S114)</f>
        <v>-0.55513888253264321</v>
      </c>
      <c r="U114" s="41">
        <f t="shared" ref="U114" si="299">P114+(R114*S114)</f>
        <v>-0.16387574187093304</v>
      </c>
      <c r="V114" s="319">
        <f t="shared" ref="V114:W114" si="300">EXP(T114)</f>
        <v>0.57399253812308015</v>
      </c>
      <c r="W114" s="319">
        <f t="shared" si="300"/>
        <v>0.84884749152850092</v>
      </c>
      <c r="X114" s="44"/>
      <c r="Z114" s="45">
        <f>(N114-P115)^2</f>
        <v>3.6903739538497208E-3</v>
      </c>
      <c r="AA114" s="46">
        <f t="shared" ref="AA114" si="301">M114*Z114</f>
        <v>0.37041509489356517</v>
      </c>
      <c r="AB114" s="2">
        <v>1</v>
      </c>
      <c r="AC114" s="28"/>
      <c r="AD114" s="28"/>
      <c r="AE114" s="36">
        <f t="shared" ref="AE114" si="302">M114^2</f>
        <v>10074.803863063789</v>
      </c>
      <c r="AF114" s="47"/>
      <c r="AG114" s="48">
        <f>AG115</f>
        <v>-2.2584459501884392E-3</v>
      </c>
      <c r="AH114" s="48" t="str">
        <f>AH115</f>
        <v>0</v>
      </c>
      <c r="AI114" s="46">
        <f t="shared" ref="AI114" si="303">1/M114</f>
        <v>9.9628066046015488E-3</v>
      </c>
      <c r="AJ114" s="49">
        <f t="shared" ref="AJ114" si="304">1/(AH114+AI114)</f>
        <v>100.37332246699712</v>
      </c>
      <c r="AK114" s="50">
        <f>AJ114/AJ115</f>
        <v>0.52901333942721551</v>
      </c>
      <c r="AL114" s="51">
        <f t="shared" ref="AL114" si="305">AJ114*N114</f>
        <v>-36.08494337687349</v>
      </c>
      <c r="AM114" s="51">
        <f t="shared" ref="AM114" si="306">AL114/AJ114</f>
        <v>-0.35950731220178811</v>
      </c>
      <c r="AN114" s="319">
        <f t="shared" ref="AN114" si="307">EXP(AM114)</f>
        <v>0.69802014737531326</v>
      </c>
      <c r="AO114" s="38">
        <f t="shared" ref="AO114" si="308">1/AJ114</f>
        <v>9.9628066046015488E-3</v>
      </c>
      <c r="AP114" s="319">
        <f t="shared" ref="AP114" si="309">SQRT(AO114)</f>
        <v>9.981385978210415E-2</v>
      </c>
      <c r="AQ114" s="320">
        <f t="shared" ref="AQ114:AQ115" si="310">$H$2</f>
        <v>1.9599639845400536</v>
      </c>
      <c r="AR114" s="41">
        <f t="shared" ref="AR114" si="311">AM114-(AQ114*AP114)</f>
        <v>-0.55513888253264321</v>
      </c>
      <c r="AS114" s="41">
        <f t="shared" ref="AS114" si="312">AM114+(1.96*AP114)</f>
        <v>-0.16387214702886399</v>
      </c>
      <c r="AT114" s="53">
        <f t="shared" ref="AT114:AU114" si="313">EXP(AR114)</f>
        <v>0.57399253812308015</v>
      </c>
      <c r="AU114" s="53">
        <f t="shared" si="313"/>
        <v>0.84885054300665852</v>
      </c>
      <c r="AV114" s="17"/>
      <c r="AX114" s="54"/>
      <c r="AY114" s="54">
        <v>1</v>
      </c>
      <c r="AZ114" s="55"/>
      <c r="BA114" s="55"/>
      <c r="BC114" s="28"/>
      <c r="BD114" s="28"/>
      <c r="BE114" s="2"/>
      <c r="BF114" s="2"/>
      <c r="BG114" s="2"/>
      <c r="BH114" s="2"/>
      <c r="BI114" s="2"/>
      <c r="BJ114" s="2"/>
      <c r="BK114" s="2"/>
      <c r="BL114" s="2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</row>
    <row r="115" spans="1:75">
      <c r="A115" s="424"/>
      <c r="B115" s="56">
        <f>COUNT(D113:D114)</f>
        <v>2</v>
      </c>
      <c r="C115" s="57">
        <f t="shared" ref="C115:H115" si="314">SUM(C113:C114)</f>
        <v>278</v>
      </c>
      <c r="D115" s="57">
        <f t="shared" si="314"/>
        <v>1724</v>
      </c>
      <c r="E115" s="57">
        <f t="shared" si="314"/>
        <v>2002</v>
      </c>
      <c r="F115" s="57">
        <f t="shared" si="314"/>
        <v>373</v>
      </c>
      <c r="G115" s="57">
        <f t="shared" si="314"/>
        <v>1620</v>
      </c>
      <c r="H115" s="57">
        <f t="shared" si="314"/>
        <v>1993</v>
      </c>
      <c r="I115" s="58"/>
      <c r="K115" s="59"/>
      <c r="L115" s="113"/>
      <c r="M115" s="61">
        <f>SUM(M113:M114)</f>
        <v>189.73684590954824</v>
      </c>
      <c r="N115" s="62"/>
      <c r="O115" s="63">
        <f>SUM(O113:O114)</f>
        <v>-56.685564550806056</v>
      </c>
      <c r="P115" s="64">
        <f>O115/M115</f>
        <v>-0.29875886404177565</v>
      </c>
      <c r="Q115" s="497">
        <f>EXP(P115)</f>
        <v>0.74173824763507867</v>
      </c>
      <c r="R115" s="497">
        <f>SQRT(1/M115)</f>
        <v>7.259791727017921E-2</v>
      </c>
      <c r="S115" s="520">
        <f t="shared" si="297"/>
        <v>1.9599639845400536</v>
      </c>
      <c r="T115" s="499">
        <f>P115-(R115*S115)</f>
        <v>-0.44104816724394524</v>
      </c>
      <c r="U115" s="499">
        <f>P115+(R115*S115)</f>
        <v>-0.15646956083960603</v>
      </c>
      <c r="V115" s="497">
        <f>EXP(T115)</f>
        <v>0.64336171686585653</v>
      </c>
      <c r="W115" s="497">
        <f>EXP(U115)</f>
        <v>0.85515754758449702</v>
      </c>
      <c r="X115" s="66"/>
      <c r="Y115" s="66"/>
      <c r="Z115" s="67"/>
      <c r="AA115" s="68">
        <f>SUM(AA113:AA114)</f>
        <v>0.78646621210691992</v>
      </c>
      <c r="AB115" s="69">
        <f>SUM(AB113:AB114)</f>
        <v>2</v>
      </c>
      <c r="AC115" s="70">
        <f>AA115-(AB115-1)</f>
        <v>-0.21353378789308008</v>
      </c>
      <c r="AD115" s="61">
        <f>M115</f>
        <v>189.73684590954824</v>
      </c>
      <c r="AE115" s="61">
        <f>SUM(AE113:AE114)</f>
        <v>18060.643185131172</v>
      </c>
      <c r="AF115" s="71">
        <f>AE115/AD115</f>
        <v>95.187853990895789</v>
      </c>
      <c r="AG115" s="72">
        <f>AC115/(AD115-AF115)</f>
        <v>-2.2584459501884392E-3</v>
      </c>
      <c r="AH115" s="72" t="str">
        <f>IF(AA115&lt;AB115-1,"0",AG115)</f>
        <v>0</v>
      </c>
      <c r="AI115" s="67"/>
      <c r="AJ115" s="61">
        <f>SUM(AJ113:AJ114)</f>
        <v>189.73684590954824</v>
      </c>
      <c r="AK115" s="73">
        <f>SUM(AK113:AK114)</f>
        <v>1</v>
      </c>
      <c r="AL115" s="70">
        <f>SUM(AL113:AL114)</f>
        <v>-56.685564550806056</v>
      </c>
      <c r="AM115" s="70">
        <f>AL115/AJ115</f>
        <v>-0.29875886404177565</v>
      </c>
      <c r="AN115" s="497">
        <f>EXP(AM115)</f>
        <v>0.74173824763507867</v>
      </c>
      <c r="AO115" s="64">
        <f>1/AJ115</f>
        <v>5.2704575919677839E-3</v>
      </c>
      <c r="AP115" s="63">
        <f>SQRT(AO115)</f>
        <v>7.259791727017921E-2</v>
      </c>
      <c r="AQ115" s="320">
        <f t="shared" si="310"/>
        <v>1.9599639845400536</v>
      </c>
      <c r="AR115" s="65">
        <f>AM115-(AQ115*AP115)</f>
        <v>-0.44104816724394524</v>
      </c>
      <c r="AS115" s="65">
        <f>AM115+(1.96*AP115)</f>
        <v>-0.1564669461922244</v>
      </c>
      <c r="AT115" s="519">
        <f>EXP(AR115)</f>
        <v>0.64336171686585653</v>
      </c>
      <c r="AU115" s="519">
        <f>EXP(AS115)</f>
        <v>0.85515978352286282</v>
      </c>
      <c r="AV115" s="76"/>
      <c r="AW115" s="77"/>
      <c r="AX115" s="78">
        <f>AA115</f>
        <v>0.78646621210691992</v>
      </c>
      <c r="AY115" s="56">
        <f>SUM(AY113:AY114)</f>
        <v>2</v>
      </c>
      <c r="AZ115" s="79">
        <f>(AX115-(AY115-1))/AX115</f>
        <v>-0.27151044076137654</v>
      </c>
      <c r="BA115" s="80" t="str">
        <f>IF(AA115&lt;AB115-1,"0%",AZ115)</f>
        <v>0%</v>
      </c>
      <c r="BB115" s="77"/>
      <c r="BC115" s="63">
        <f>AX115/(AY115-1)</f>
        <v>0.78646621210691992</v>
      </c>
      <c r="BD115" s="81">
        <f>LN(BC115)</f>
        <v>-0.24020551721980157</v>
      </c>
      <c r="BE115" s="63">
        <f>LN(AX115)</f>
        <v>-0.24020551721980157</v>
      </c>
      <c r="BF115" s="63">
        <f>LN(AY115-1)</f>
        <v>0</v>
      </c>
      <c r="BG115" s="63">
        <f>SQRT(2*AX115)</f>
        <v>1.2541660273719106</v>
      </c>
      <c r="BH115" s="63">
        <f>SQRT(2*AY115-3)</f>
        <v>1</v>
      </c>
      <c r="BI115" s="63">
        <f>2*(AY115-2)</f>
        <v>0</v>
      </c>
      <c r="BJ115" s="63">
        <f>3*(AY115-2)^2</f>
        <v>0</v>
      </c>
      <c r="BK115" s="63" t="e">
        <f>1/BI115</f>
        <v>#DIV/0!</v>
      </c>
      <c r="BL115" s="82" t="e">
        <f>1/BJ115</f>
        <v>#DIV/0!</v>
      </c>
      <c r="BM115" s="82" t="e">
        <f>SQRT(BK115*(1-BL115))</f>
        <v>#DIV/0!</v>
      </c>
      <c r="BN115" s="83">
        <f>0.5*(BE115-BF115)/(BG115-BH115)</f>
        <v>-0.47253663226265635</v>
      </c>
      <c r="BO115" s="83" t="e">
        <f>IF(AA115&lt;=AB115,BM115,BN115)</f>
        <v>#DIV/0!</v>
      </c>
      <c r="BP115" s="70" t="e">
        <f>BD115-(1.96*BO115)</f>
        <v>#DIV/0!</v>
      </c>
      <c r="BQ115" s="70" t="e">
        <f>BD115+(1.96*BO115)</f>
        <v>#DIV/0!</v>
      </c>
      <c r="BR115" s="70"/>
      <c r="BS115" s="81" t="e">
        <f>EXP(BP115)</f>
        <v>#DIV/0!</v>
      </c>
      <c r="BT115" s="81" t="e">
        <f>EXP(BQ115)</f>
        <v>#DIV/0!</v>
      </c>
      <c r="BU115" s="84" t="str">
        <f>BA115</f>
        <v>0%</v>
      </c>
      <c r="BV115" s="84" t="e">
        <f>(BS115-1)/BS115</f>
        <v>#DIV/0!</v>
      </c>
      <c r="BW115" s="84" t="e">
        <f>(BT115-1)/BT115</f>
        <v>#DIV/0!</v>
      </c>
    </row>
    <row r="116" spans="1:75" ht="13.5" thickBot="1">
      <c r="A116" s="424"/>
      <c r="C116" s="85"/>
      <c r="D116" s="85"/>
      <c r="E116" s="85"/>
      <c r="F116" s="85"/>
      <c r="G116" s="85"/>
      <c r="H116" s="85"/>
      <c r="I116" s="86"/>
      <c r="R116" s="87"/>
      <c r="S116" s="87"/>
      <c r="T116" s="87"/>
      <c r="U116" s="87"/>
      <c r="V116" s="87"/>
      <c r="W116" s="87"/>
      <c r="X116" s="87"/>
      <c r="AB116" s="88"/>
      <c r="AC116" s="89"/>
      <c r="AD116" s="90"/>
      <c r="AE116" s="89"/>
      <c r="AF116" s="91"/>
      <c r="AG116" s="91"/>
      <c r="AH116" s="91"/>
      <c r="AI116" s="91"/>
      <c r="AT116" s="92"/>
      <c r="AU116" s="92"/>
      <c r="AV116" s="92"/>
      <c r="AX116" s="5" t="s">
        <v>56</v>
      </c>
      <c r="BG116" s="11"/>
      <c r="BN116" s="89" t="s">
        <v>57</v>
      </c>
      <c r="BT116" s="93" t="s">
        <v>58</v>
      </c>
      <c r="BU116" s="504" t="str">
        <f>BU115</f>
        <v>0%</v>
      </c>
      <c r="BV116" s="504" t="e">
        <f>IF(BV115&lt;0,"0%",BV115)</f>
        <v>#DIV/0!</v>
      </c>
      <c r="BW116" s="505" t="e">
        <f>IF(BW115&lt;0,"0%",BW115)</f>
        <v>#DIV/0!</v>
      </c>
    </row>
    <row r="117" spans="1:75" s="15" customFormat="1" ht="26.5" thickBot="1">
      <c r="A117" s="569"/>
      <c r="B117" s="570"/>
      <c r="C117" s="571"/>
      <c r="D117" s="571"/>
      <c r="E117" s="571"/>
      <c r="F117" s="571"/>
      <c r="G117" s="571"/>
      <c r="H117" s="571"/>
      <c r="I117" s="573"/>
      <c r="J117" s="570"/>
      <c r="K117" s="570"/>
      <c r="R117" s="574"/>
      <c r="S117" s="574"/>
      <c r="T117" s="574"/>
      <c r="U117" s="574"/>
      <c r="V117" s="574"/>
      <c r="W117" s="574"/>
      <c r="X117" s="574"/>
      <c r="AI117" s="575"/>
      <c r="AJ117" s="576"/>
      <c r="AK117" s="576"/>
      <c r="AL117" s="577"/>
      <c r="AM117" s="578"/>
      <c r="AO117" s="100" t="s">
        <v>59</v>
      </c>
      <c r="AP117" s="101" t="e">
        <f>TINV((1-$H$1),(AB115-2))</f>
        <v>#NUM!</v>
      </c>
      <c r="AR117" s="579" t="s">
        <v>60</v>
      </c>
      <c r="AS117" s="102">
        <f>$H$1</f>
        <v>0.95</v>
      </c>
      <c r="AT117" s="507" t="e">
        <f>EXP(AM115-AP117*SQRT((1/AD115)+AH115))</f>
        <v>#NUM!</v>
      </c>
      <c r="AU117" s="507" t="e">
        <f>EXP(AM115+AP117*SQRT((1/AD115)+AH115))</f>
        <v>#NUM!</v>
      </c>
      <c r="AV117" s="17"/>
      <c r="AX117" s="103">
        <f>_xlfn.CHISQ.DIST.RT(AX115,AY115-1)</f>
        <v>0.37517080881876091</v>
      </c>
      <c r="AY117" s="104" t="str">
        <f>IF(AX117&lt;0.05,"heterogeneidad","homogeneidad")</f>
        <v>homogeneidad</v>
      </c>
      <c r="BF117" s="580"/>
      <c r="BG117" s="575"/>
      <c r="BH117" s="575"/>
      <c r="BJ117" s="581"/>
      <c r="BL117" s="575"/>
      <c r="BM117" s="582"/>
      <c r="BQ117" s="575"/>
    </row>
    <row r="118" spans="1:75" ht="14.5">
      <c r="A118" s="424"/>
      <c r="B118" s="5"/>
      <c r="C118" s="94"/>
      <c r="D118" s="94"/>
      <c r="E118" s="94"/>
      <c r="F118" s="94"/>
      <c r="G118" s="94"/>
      <c r="H118" s="94"/>
      <c r="I118" s="95"/>
      <c r="J118" s="5"/>
      <c r="K118" s="5"/>
      <c r="R118" s="96"/>
      <c r="S118" s="96"/>
      <c r="T118" s="96"/>
      <c r="U118" s="96"/>
      <c r="V118" s="96"/>
      <c r="W118" s="96"/>
      <c r="X118" s="96"/>
      <c r="AF118" s="1"/>
      <c r="AI118" s="11"/>
      <c r="AJ118" s="97"/>
      <c r="AK118" s="97"/>
      <c r="AL118" s="98"/>
      <c r="AM118" s="99"/>
      <c r="AN118" s="107"/>
      <c r="AO118" s="108"/>
      <c r="AP118" s="14"/>
      <c r="AS118" s="109"/>
      <c r="AT118" s="17"/>
      <c r="AU118" s="17"/>
      <c r="AV118" s="17"/>
      <c r="BF118" s="105"/>
      <c r="BG118" s="11"/>
      <c r="BH118" s="11"/>
      <c r="BJ118" s="44"/>
      <c r="BL118" s="11"/>
      <c r="BM118" s="110"/>
      <c r="BQ118" s="11"/>
    </row>
    <row r="119" spans="1:75" ht="13" hidden="1" customHeight="1" thickBot="1">
      <c r="A119" s="424"/>
      <c r="B119" s="612" t="s">
        <v>482</v>
      </c>
      <c r="C119" s="85"/>
      <c r="D119" s="85"/>
      <c r="E119" s="85"/>
      <c r="F119" s="85"/>
      <c r="G119" s="85"/>
      <c r="H119" s="85"/>
      <c r="I119" s="86"/>
      <c r="J119" s="619" t="s">
        <v>4</v>
      </c>
      <c r="K119" s="620"/>
      <c r="L119" s="620"/>
      <c r="M119" s="620"/>
      <c r="N119" s="620"/>
      <c r="O119" s="620"/>
      <c r="P119" s="620"/>
      <c r="Q119" s="620"/>
      <c r="R119" s="620"/>
      <c r="S119" s="620"/>
      <c r="T119" s="620"/>
      <c r="U119" s="620"/>
      <c r="V119" s="620"/>
      <c r="W119" s="621"/>
      <c r="X119" s="12"/>
      <c r="Y119" s="619" t="s">
        <v>5</v>
      </c>
      <c r="Z119" s="620"/>
      <c r="AA119" s="620"/>
      <c r="AB119" s="620"/>
      <c r="AC119" s="620"/>
      <c r="AD119" s="620"/>
      <c r="AE119" s="620"/>
      <c r="AF119" s="620"/>
      <c r="AG119" s="620"/>
      <c r="AH119" s="620"/>
      <c r="AI119" s="620"/>
      <c r="AJ119" s="620"/>
      <c r="AK119" s="620"/>
      <c r="AL119" s="620"/>
      <c r="AM119" s="620"/>
      <c r="AN119" s="620"/>
      <c r="AO119" s="620"/>
      <c r="AP119" s="620"/>
      <c r="AQ119" s="620"/>
      <c r="AR119" s="620"/>
      <c r="AS119" s="620"/>
      <c r="AT119" s="620"/>
      <c r="AU119" s="621"/>
      <c r="AV119" s="12"/>
      <c r="AW119" s="619" t="s">
        <v>229</v>
      </c>
      <c r="AX119" s="620"/>
      <c r="AY119" s="620"/>
      <c r="AZ119" s="620"/>
      <c r="BA119" s="620"/>
      <c r="BB119" s="620"/>
      <c r="BC119" s="620"/>
      <c r="BD119" s="620"/>
      <c r="BE119" s="620"/>
      <c r="BF119" s="620"/>
      <c r="BG119" s="620"/>
      <c r="BH119" s="620"/>
      <c r="BI119" s="620"/>
      <c r="BJ119" s="620"/>
      <c r="BK119" s="620"/>
      <c r="BL119" s="620"/>
      <c r="BM119" s="620"/>
      <c r="BN119" s="620"/>
      <c r="BO119" s="620"/>
      <c r="BP119" s="620"/>
      <c r="BQ119" s="620"/>
      <c r="BR119" s="620"/>
      <c r="BS119" s="620"/>
      <c r="BT119" s="620"/>
      <c r="BU119" s="620"/>
      <c r="BV119" s="620"/>
      <c r="BW119" s="621"/>
    </row>
    <row r="120" spans="1:75" ht="13.5" hidden="1" thickBot="1">
      <c r="A120" s="610"/>
      <c r="B120" s="611" t="s">
        <v>482</v>
      </c>
      <c r="C120" s="622" t="s">
        <v>7</v>
      </c>
      <c r="D120" s="618"/>
      <c r="E120" s="618"/>
      <c r="F120" s="618" t="s">
        <v>8</v>
      </c>
      <c r="G120" s="618"/>
      <c r="H120" s="618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</row>
    <row r="121" spans="1:75" ht="60" hidden="1">
      <c r="A121" s="553" t="s">
        <v>371</v>
      </c>
      <c r="B121" s="609" t="s">
        <v>483</v>
      </c>
      <c r="C121" s="16" t="s">
        <v>9</v>
      </c>
      <c r="D121" s="16" t="s">
        <v>10</v>
      </c>
      <c r="E121" s="16" t="s">
        <v>11</v>
      </c>
      <c r="F121" s="16" t="s">
        <v>9</v>
      </c>
      <c r="G121" s="16" t="s">
        <v>10</v>
      </c>
      <c r="H121" s="16" t="s">
        <v>11</v>
      </c>
      <c r="I121" s="17"/>
      <c r="K121" s="18" t="s">
        <v>12</v>
      </c>
      <c r="L121" s="18" t="s">
        <v>13</v>
      </c>
      <c r="M121" s="18" t="s">
        <v>14</v>
      </c>
      <c r="N121" s="19" t="s">
        <v>15</v>
      </c>
      <c r="O121" s="19" t="s">
        <v>16</v>
      </c>
      <c r="P121" s="19" t="s">
        <v>17</v>
      </c>
      <c r="Q121" s="495" t="s">
        <v>18</v>
      </c>
      <c r="R121" s="495" t="s">
        <v>19</v>
      </c>
      <c r="S121" s="496" t="s">
        <v>3</v>
      </c>
      <c r="T121" s="495" t="s">
        <v>20</v>
      </c>
      <c r="U121" s="495" t="s">
        <v>21</v>
      </c>
      <c r="V121" s="495" t="s">
        <v>22</v>
      </c>
      <c r="W121" s="495" t="s">
        <v>22</v>
      </c>
      <c r="X121" s="20"/>
      <c r="Y121" s="21"/>
      <c r="Z121" s="22" t="s">
        <v>23</v>
      </c>
      <c r="AA121" s="19" t="s">
        <v>24</v>
      </c>
      <c r="AB121" s="3" t="s">
        <v>25</v>
      </c>
      <c r="AC121" s="3" t="s">
        <v>26</v>
      </c>
      <c r="AD121" s="3" t="s">
        <v>27</v>
      </c>
      <c r="AE121" s="19" t="s">
        <v>28</v>
      </c>
      <c r="AF121" s="19" t="s">
        <v>29</v>
      </c>
      <c r="AG121" s="23" t="s">
        <v>30</v>
      </c>
      <c r="AH121" s="23" t="s">
        <v>31</v>
      </c>
      <c r="AI121" s="3" t="s">
        <v>32</v>
      </c>
      <c r="AJ121" s="19" t="s">
        <v>33</v>
      </c>
      <c r="AK121" s="19" t="s">
        <v>34</v>
      </c>
      <c r="AL121" s="19" t="s">
        <v>35</v>
      </c>
      <c r="AM121" s="3" t="s">
        <v>36</v>
      </c>
      <c r="AN121" s="496" t="s">
        <v>37</v>
      </c>
      <c r="AO121" s="19" t="s">
        <v>38</v>
      </c>
      <c r="AP121" s="19" t="s">
        <v>39</v>
      </c>
      <c r="AQ121" s="3" t="s">
        <v>3</v>
      </c>
      <c r="AR121" s="19" t="s">
        <v>40</v>
      </c>
      <c r="AS121" s="19" t="s">
        <v>41</v>
      </c>
      <c r="AT121" s="495" t="s">
        <v>22</v>
      </c>
      <c r="AU121" s="495" t="s">
        <v>22</v>
      </c>
      <c r="AV121" s="20"/>
      <c r="AX121" s="24" t="s">
        <v>42</v>
      </c>
      <c r="AY121" s="24" t="s">
        <v>25</v>
      </c>
      <c r="AZ121" s="25" t="s">
        <v>61</v>
      </c>
      <c r="BA121" s="26" t="s">
        <v>62</v>
      </c>
      <c r="BC121" s="3" t="s">
        <v>63</v>
      </c>
      <c r="BD121" s="3" t="s">
        <v>64</v>
      </c>
      <c r="BE121" s="3" t="s">
        <v>43</v>
      </c>
      <c r="BF121" s="3" t="s">
        <v>44</v>
      </c>
      <c r="BG121" s="3" t="s">
        <v>45</v>
      </c>
      <c r="BH121" s="3" t="s">
        <v>46</v>
      </c>
      <c r="BI121" s="3" t="s">
        <v>47</v>
      </c>
      <c r="BJ121" s="3" t="s">
        <v>65</v>
      </c>
      <c r="BK121" s="3" t="s">
        <v>48</v>
      </c>
      <c r="BL121" s="3" t="s">
        <v>49</v>
      </c>
      <c r="BM121" s="27" t="s">
        <v>66</v>
      </c>
      <c r="BN121" s="27" t="s">
        <v>67</v>
      </c>
      <c r="BO121" s="27" t="s">
        <v>68</v>
      </c>
      <c r="BP121" s="27" t="s">
        <v>69</v>
      </c>
      <c r="BQ121" s="27" t="s">
        <v>70</v>
      </c>
      <c r="BR121" s="28"/>
      <c r="BS121" s="19" t="s">
        <v>71</v>
      </c>
      <c r="BT121" s="19" t="s">
        <v>72</v>
      </c>
      <c r="BU121" s="495" t="s">
        <v>226</v>
      </c>
      <c r="BV121" s="495" t="s">
        <v>227</v>
      </c>
      <c r="BW121" s="495" t="s">
        <v>228</v>
      </c>
    </row>
    <row r="122" spans="1:75" hidden="1">
      <c r="A122" s="424"/>
      <c r="B122" s="29" t="s">
        <v>231</v>
      </c>
      <c r="C122" s="30">
        <v>386</v>
      </c>
      <c r="D122" s="31">
        <f>E122-C122</f>
        <v>1987</v>
      </c>
      <c r="E122" s="32">
        <v>2373</v>
      </c>
      <c r="F122" s="30">
        <v>502</v>
      </c>
      <c r="G122" s="31">
        <f>H122-F122</f>
        <v>1869</v>
      </c>
      <c r="H122" s="32">
        <v>2371</v>
      </c>
      <c r="I122" s="33"/>
      <c r="K122" s="34">
        <f>(C122/E122)/(F122/H122)</f>
        <v>0.76827624185096954</v>
      </c>
      <c r="L122" s="35">
        <f t="shared" ref="L122:L125" si="315">(D122/(C122*E122)+(G122/(F122*H122)))</f>
        <v>3.7395349773746717E-3</v>
      </c>
      <c r="M122" s="36">
        <f>1/L122</f>
        <v>267.41292862623436</v>
      </c>
      <c r="N122" s="37">
        <f>LN(K122)</f>
        <v>-0.26360592059725635</v>
      </c>
      <c r="O122" s="37">
        <f>M122*N122</f>
        <v>-70.491631230126913</v>
      </c>
      <c r="P122" s="37">
        <f>LN(K122)</f>
        <v>-0.26360592059725635</v>
      </c>
      <c r="Q122" s="111">
        <f>K122</f>
        <v>0.76827624185096954</v>
      </c>
      <c r="R122" s="39">
        <f>SQRT(1/M122)</f>
        <v>6.1151737320984362E-2</v>
      </c>
      <c r="S122" s="40">
        <f>$H$2</f>
        <v>1.9599639845400536</v>
      </c>
      <c r="T122" s="41">
        <f>P122-(R122*S122)</f>
        <v>-0.38346112333843957</v>
      </c>
      <c r="U122" s="41">
        <f>P122+(R122*S122)</f>
        <v>-0.14375071785607313</v>
      </c>
      <c r="V122" s="42">
        <f>EXP(T122)</f>
        <v>0.68149857192309182</v>
      </c>
      <c r="W122" s="43">
        <f>EXP(U122)</f>
        <v>0.86610362531949647</v>
      </c>
      <c r="X122" s="44"/>
      <c r="Z122" s="45">
        <f>(N122-P126)^2</f>
        <v>1.8984083989936936E-3</v>
      </c>
      <c r="AA122" s="46">
        <f>M122*Z122</f>
        <v>0.50765894970354442</v>
      </c>
      <c r="AB122" s="2">
        <v>1</v>
      </c>
      <c r="AC122" s="28"/>
      <c r="AD122" s="28"/>
      <c r="AE122" s="36">
        <f>M122^2</f>
        <v>71509.674396459508</v>
      </c>
      <c r="AF122" s="47"/>
      <c r="AG122" s="48">
        <f>AG126</f>
        <v>-1.9081431965694447E-3</v>
      </c>
      <c r="AH122" s="48" t="str">
        <f>AH126</f>
        <v>0</v>
      </c>
      <c r="AI122" s="46">
        <f>1/M122</f>
        <v>3.7395349773746717E-3</v>
      </c>
      <c r="AJ122" s="49">
        <f>1/(AH122+AI122)</f>
        <v>267.41292862623436</v>
      </c>
      <c r="AK122" s="50">
        <f>AJ122/AJ126</f>
        <v>0.23555340385522472</v>
      </c>
      <c r="AL122" s="51">
        <f>AJ122*N122</f>
        <v>-70.491631230126913</v>
      </c>
      <c r="AM122" s="51">
        <f>AL122/AJ122</f>
        <v>-0.26360592059725635</v>
      </c>
      <c r="AN122" s="43">
        <f>EXP(AM122)</f>
        <v>0.76827624185096954</v>
      </c>
      <c r="AO122" s="52">
        <f>1/AJ122</f>
        <v>3.7395349773746717E-3</v>
      </c>
      <c r="AP122" s="43">
        <f>SQRT(AO122)</f>
        <v>6.1151737320984362E-2</v>
      </c>
      <c r="AQ122" s="40">
        <f>$H$2</f>
        <v>1.9599639845400536</v>
      </c>
      <c r="AR122" s="41">
        <f>AM122-(AQ122*AP122)</f>
        <v>-0.38346112333843957</v>
      </c>
      <c r="AS122" s="41">
        <f>AM122+(1.96*AP122)</f>
        <v>-0.143748515448127</v>
      </c>
      <c r="AT122" s="53">
        <f>EXP(AR122)</f>
        <v>0.68149857192309182</v>
      </c>
      <c r="AU122" s="53">
        <f>EXP(AS122)</f>
        <v>0.86610553283510361</v>
      </c>
      <c r="AV122" s="17"/>
      <c r="AX122" s="54"/>
      <c r="AY122" s="54">
        <v>1</v>
      </c>
      <c r="AZ122" s="55"/>
      <c r="BA122" s="55"/>
      <c r="BC122" s="28"/>
      <c r="BD122" s="28"/>
      <c r="BE122" s="2"/>
      <c r="BF122" s="2"/>
      <c r="BG122" s="2"/>
      <c r="BH122" s="2"/>
      <c r="BI122" s="2"/>
      <c r="BJ122" s="2"/>
      <c r="BK122" s="2"/>
      <c r="BL122" s="2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</row>
    <row r="123" spans="1:75" hidden="1">
      <c r="A123" s="424"/>
      <c r="B123" s="29" t="s">
        <v>230</v>
      </c>
      <c r="C123" s="30">
        <v>361</v>
      </c>
      <c r="D123" s="31">
        <f t="shared" ref="D123:D125" si="316">E123-C123</f>
        <v>1502</v>
      </c>
      <c r="E123" s="32">
        <v>1863</v>
      </c>
      <c r="F123" s="30">
        <v>462</v>
      </c>
      <c r="G123" s="31">
        <f t="shared" ref="G123:G125" si="317">H123-F123</f>
        <v>1405</v>
      </c>
      <c r="H123" s="32">
        <v>1867</v>
      </c>
      <c r="I123" s="33"/>
      <c r="K123" s="34">
        <f t="shared" ref="K123:K125" si="318">(C123/E123)/(F123/H123)</f>
        <v>0.78306297388422996</v>
      </c>
      <c r="L123" s="35">
        <f t="shared" si="315"/>
        <v>3.8621979747559018E-3</v>
      </c>
      <c r="M123" s="36">
        <f t="shared" ref="M123:M125" si="319">1/L123</f>
        <v>258.91992242142942</v>
      </c>
      <c r="N123" s="37">
        <f t="shared" ref="N123:N125" si="320">LN(K123)</f>
        <v>-0.24454215980872371</v>
      </c>
      <c r="O123" s="37">
        <f t="shared" ref="O123:O125" si="321">M123*N123</f>
        <v>-63.316837046443538</v>
      </c>
      <c r="P123" s="37">
        <f t="shared" ref="P123:P125" si="322">LN(K123)</f>
        <v>-0.24454215980872371</v>
      </c>
      <c r="Q123" s="111">
        <f t="shared" ref="Q123:Q125" si="323">K123</f>
        <v>0.78306297388422996</v>
      </c>
      <c r="R123" s="39">
        <f t="shared" ref="R123:R125" si="324">SQRT(1/M123)</f>
        <v>6.2146584578365222E-2</v>
      </c>
      <c r="S123" s="40">
        <f t="shared" ref="S123:S126" si="325">$H$2</f>
        <v>1.9599639845400536</v>
      </c>
      <c r="T123" s="41">
        <f t="shared" ref="T123:T125" si="326">P123-(R123*S123)</f>
        <v>-0.36634722734449188</v>
      </c>
      <c r="U123" s="41">
        <f t="shared" ref="U123:U125" si="327">P123+(R123*S123)</f>
        <v>-0.12273709227295557</v>
      </c>
      <c r="V123" s="42">
        <f t="shared" ref="V123:W125" si="328">EXP(T123)</f>
        <v>0.69326203987557233</v>
      </c>
      <c r="W123" s="43">
        <f t="shared" si="328"/>
        <v>0.88449617287349236</v>
      </c>
      <c r="X123" s="44"/>
      <c r="Z123" s="45">
        <f>(N123-P126)^2</f>
        <v>6.0059147595759521E-4</v>
      </c>
      <c r="AA123" s="46">
        <f t="shared" ref="AA123:AA125" si="329">M123*Z123</f>
        <v>0.15550509836191234</v>
      </c>
      <c r="AB123" s="2">
        <v>1</v>
      </c>
      <c r="AC123" s="28"/>
      <c r="AD123" s="28"/>
      <c r="AE123" s="36">
        <f t="shared" ref="AE123:AE125" si="330">M123^2</f>
        <v>67039.526226719026</v>
      </c>
      <c r="AF123" s="47"/>
      <c r="AG123" s="48">
        <f>AG126</f>
        <v>-1.9081431965694447E-3</v>
      </c>
      <c r="AH123" s="48" t="str">
        <f>AH126</f>
        <v>0</v>
      </c>
      <c r="AI123" s="46">
        <f t="shared" ref="AI123:AI125" si="331">1/M123</f>
        <v>3.8621979747559022E-3</v>
      </c>
      <c r="AJ123" s="49">
        <f t="shared" ref="AJ123:AJ125" si="332">1/(AH123+AI123)</f>
        <v>258.91992242142942</v>
      </c>
      <c r="AK123" s="50">
        <f>AJ123/AJ126</f>
        <v>0.22807225277257998</v>
      </c>
      <c r="AL123" s="51">
        <f t="shared" ref="AL123:AL125" si="333">AJ123*N123</f>
        <v>-63.316837046443538</v>
      </c>
      <c r="AM123" s="51">
        <f t="shared" ref="AM123:AM125" si="334">AL123/AJ123</f>
        <v>-0.24454215980872371</v>
      </c>
      <c r="AN123" s="43">
        <f t="shared" ref="AN123:AN125" si="335">EXP(AM123)</f>
        <v>0.78306297388422996</v>
      </c>
      <c r="AO123" s="52">
        <f t="shared" ref="AO123:AO125" si="336">1/AJ123</f>
        <v>3.8621979747559022E-3</v>
      </c>
      <c r="AP123" s="43">
        <f t="shared" ref="AP123:AP125" si="337">SQRT(AO123)</f>
        <v>6.2146584578365222E-2</v>
      </c>
      <c r="AQ123" s="40">
        <f t="shared" ref="AQ123:AQ126" si="338">$H$2</f>
        <v>1.9599639845400536</v>
      </c>
      <c r="AR123" s="41">
        <f t="shared" ref="AR123:AR125" si="339">AM123-(AQ123*AP123)</f>
        <v>-0.36634722734449188</v>
      </c>
      <c r="AS123" s="41">
        <f t="shared" ref="AS123:AS125" si="340">AM123+(1.96*AP123)</f>
        <v>-0.12273485403512788</v>
      </c>
      <c r="AT123" s="53">
        <f t="shared" ref="AT123:AU125" si="341">EXP(AR123)</f>
        <v>0.69326203987557233</v>
      </c>
      <c r="AU123" s="53">
        <f t="shared" si="341"/>
        <v>0.88449815258850051</v>
      </c>
      <c r="AV123" s="17"/>
      <c r="AX123" s="54"/>
      <c r="AY123" s="54">
        <v>1</v>
      </c>
      <c r="AZ123" s="55"/>
      <c r="BA123" s="55"/>
      <c r="BC123" s="28"/>
      <c r="BD123" s="28"/>
      <c r="BE123" s="2"/>
      <c r="BF123" s="2"/>
      <c r="BG123" s="2"/>
      <c r="BH123" s="2"/>
      <c r="BI123" s="2"/>
      <c r="BJ123" s="2"/>
      <c r="BK123" s="2"/>
      <c r="BL123" s="2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</row>
    <row r="124" spans="1:75" hidden="1">
      <c r="A124" s="424"/>
      <c r="B124" s="29" t="s">
        <v>370</v>
      </c>
      <c r="C124" s="30">
        <v>415</v>
      </c>
      <c r="D124" s="31">
        <f t="shared" si="316"/>
        <v>2582</v>
      </c>
      <c r="E124" s="32">
        <v>2997</v>
      </c>
      <c r="F124" s="30">
        <v>511</v>
      </c>
      <c r="G124" s="31">
        <f t="shared" si="317"/>
        <v>2480</v>
      </c>
      <c r="H124" s="32">
        <v>2991</v>
      </c>
      <c r="I124" s="33"/>
      <c r="K124" s="34">
        <f t="shared" si="318"/>
        <v>0.81050718037019398</v>
      </c>
      <c r="L124" s="35">
        <f t="shared" si="315"/>
        <v>3.6985823739494003E-3</v>
      </c>
      <c r="M124" s="36">
        <f t="shared" si="319"/>
        <v>270.37386190000831</v>
      </c>
      <c r="N124" s="37">
        <f t="shared" si="320"/>
        <v>-0.21009507865972143</v>
      </c>
      <c r="O124" s="37">
        <f t="shared" si="321"/>
        <v>-56.804217783414906</v>
      </c>
      <c r="P124" s="37">
        <f t="shared" si="322"/>
        <v>-0.21009507865972143</v>
      </c>
      <c r="Q124" s="111">
        <f t="shared" si="323"/>
        <v>0.81050718037019398</v>
      </c>
      <c r="R124" s="39">
        <f t="shared" si="324"/>
        <v>6.0815971372242345E-2</v>
      </c>
      <c r="S124" s="40">
        <f t="shared" si="325"/>
        <v>1.9599639845400536</v>
      </c>
      <c r="T124" s="41">
        <f t="shared" si="326"/>
        <v>-0.32929219223413536</v>
      </c>
      <c r="U124" s="41">
        <f t="shared" si="327"/>
        <v>-9.0897965085307494E-2</v>
      </c>
      <c r="V124" s="42">
        <f t="shared" si="328"/>
        <v>0.71943277336347</v>
      </c>
      <c r="W124" s="43">
        <f t="shared" si="328"/>
        <v>0.91311087533644197</v>
      </c>
      <c r="X124" s="44"/>
      <c r="Z124" s="45">
        <f>(N124-P126)^2</f>
        <v>9.8805851278890099E-5</v>
      </c>
      <c r="AA124" s="46">
        <f t="shared" si="329"/>
        <v>2.671451958859139E-2</v>
      </c>
      <c r="AB124" s="2">
        <v>1</v>
      </c>
      <c r="AC124" s="28"/>
      <c r="AD124" s="28"/>
      <c r="AE124" s="36">
        <f t="shared" si="330"/>
        <v>73102.025198724761</v>
      </c>
      <c r="AF124" s="47"/>
      <c r="AG124" s="48">
        <f>AG126</f>
        <v>-1.9081431965694447E-3</v>
      </c>
      <c r="AH124" s="48" t="str">
        <f>AH126</f>
        <v>0</v>
      </c>
      <c r="AI124" s="46">
        <f t="shared" si="331"/>
        <v>3.6985823739494003E-3</v>
      </c>
      <c r="AJ124" s="49">
        <f t="shared" si="332"/>
        <v>270.37386190000831</v>
      </c>
      <c r="AK124" s="50">
        <f>AJ124/AJ126</f>
        <v>0.2381615721094997</v>
      </c>
      <c r="AL124" s="51">
        <f t="shared" si="333"/>
        <v>-56.804217783414906</v>
      </c>
      <c r="AM124" s="51">
        <f t="shared" si="334"/>
        <v>-0.21009507865972143</v>
      </c>
      <c r="AN124" s="43">
        <f t="shared" si="335"/>
        <v>0.81050718037019398</v>
      </c>
      <c r="AO124" s="52">
        <f t="shared" si="336"/>
        <v>3.6985823739494003E-3</v>
      </c>
      <c r="AP124" s="43">
        <f t="shared" si="337"/>
        <v>6.0815971372242345E-2</v>
      </c>
      <c r="AQ124" s="40">
        <f t="shared" si="338"/>
        <v>1.9599639845400536</v>
      </c>
      <c r="AR124" s="41">
        <f t="shared" si="339"/>
        <v>-0.32929219223413536</v>
      </c>
      <c r="AS124" s="41">
        <f t="shared" si="340"/>
        <v>-9.0895774770126447E-2</v>
      </c>
      <c r="AT124" s="53">
        <f t="shared" si="341"/>
        <v>0.71943277336347</v>
      </c>
      <c r="AU124" s="53">
        <f t="shared" si="341"/>
        <v>0.91311287533924457</v>
      </c>
      <c r="AV124" s="17"/>
      <c r="AX124" s="54"/>
      <c r="AY124" s="54">
        <v>1</v>
      </c>
      <c r="AZ124" s="55"/>
      <c r="BA124" s="55"/>
      <c r="BC124" s="28"/>
      <c r="BD124" s="28"/>
      <c r="BE124" s="2"/>
      <c r="BF124" s="2"/>
      <c r="BG124" s="2"/>
      <c r="BH124" s="2"/>
      <c r="BI124" s="2"/>
      <c r="BJ124" s="2"/>
      <c r="BK124" s="2"/>
      <c r="BL124" s="2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</row>
    <row r="125" spans="1:75" hidden="1">
      <c r="A125" s="424"/>
      <c r="B125" s="29" t="s">
        <v>232</v>
      </c>
      <c r="C125" s="30">
        <v>512</v>
      </c>
      <c r="D125" s="31">
        <f t="shared" si="316"/>
        <v>2619</v>
      </c>
      <c r="E125" s="32">
        <v>3131</v>
      </c>
      <c r="F125" s="30">
        <v>610</v>
      </c>
      <c r="G125" s="31">
        <f t="shared" si="317"/>
        <v>2522</v>
      </c>
      <c r="H125" s="32">
        <v>3132</v>
      </c>
      <c r="I125" s="33"/>
      <c r="K125" s="34">
        <f t="shared" si="318"/>
        <v>0.83961233775413513</v>
      </c>
      <c r="L125" s="35">
        <f t="shared" si="315"/>
        <v>2.9537976828642428E-3</v>
      </c>
      <c r="M125" s="36">
        <f t="shared" si="319"/>
        <v>338.5472220393641</v>
      </c>
      <c r="N125" s="37">
        <f t="shared" si="320"/>
        <v>-0.17481499634356099</v>
      </c>
      <c r="O125" s="37">
        <f t="shared" si="321"/>
        <v>-59.183131382934164</v>
      </c>
      <c r="P125" s="37">
        <f t="shared" si="322"/>
        <v>-0.17481499634356099</v>
      </c>
      <c r="Q125" s="111">
        <f t="shared" si="323"/>
        <v>0.83961233775413513</v>
      </c>
      <c r="R125" s="39">
        <f t="shared" si="324"/>
        <v>5.4348851716151676E-2</v>
      </c>
      <c r="S125" s="40">
        <f t="shared" si="325"/>
        <v>1.9599639845400536</v>
      </c>
      <c r="T125" s="41">
        <f t="shared" si="326"/>
        <v>-0.28133678830832615</v>
      </c>
      <c r="U125" s="41">
        <f t="shared" si="327"/>
        <v>-6.829320437879581E-2</v>
      </c>
      <c r="V125" s="42">
        <f t="shared" si="328"/>
        <v>0.75477409357961622</v>
      </c>
      <c r="W125" s="43">
        <f t="shared" si="328"/>
        <v>0.93398658447012972</v>
      </c>
      <c r="X125" s="44"/>
      <c r="Z125" s="45">
        <f>(N125-P126)^2</f>
        <v>2.0448660863869967E-3</v>
      </c>
      <c r="AA125" s="46">
        <f t="shared" si="329"/>
        <v>0.69228373298882406</v>
      </c>
      <c r="AB125" s="2">
        <v>1</v>
      </c>
      <c r="AC125" s="28"/>
      <c r="AD125" s="28"/>
      <c r="AE125" s="36">
        <f t="shared" si="330"/>
        <v>114614.2215505705</v>
      </c>
      <c r="AF125" s="47"/>
      <c r="AG125" s="48">
        <f>AG126</f>
        <v>-1.9081431965694447E-3</v>
      </c>
      <c r="AH125" s="48" t="str">
        <f>AH126</f>
        <v>0</v>
      </c>
      <c r="AI125" s="46">
        <f t="shared" si="331"/>
        <v>2.9537976828642428E-3</v>
      </c>
      <c r="AJ125" s="49">
        <f t="shared" si="332"/>
        <v>338.5472220393641</v>
      </c>
      <c r="AK125" s="50">
        <f>AJ125/AJ126</f>
        <v>0.29821277126269558</v>
      </c>
      <c r="AL125" s="51">
        <f t="shared" si="333"/>
        <v>-59.183131382934164</v>
      </c>
      <c r="AM125" s="51">
        <f t="shared" si="334"/>
        <v>-0.17481499634356099</v>
      </c>
      <c r="AN125" s="43">
        <f t="shared" si="335"/>
        <v>0.83961233775413513</v>
      </c>
      <c r="AO125" s="52">
        <f t="shared" si="336"/>
        <v>2.9537976828642428E-3</v>
      </c>
      <c r="AP125" s="43">
        <f t="shared" si="337"/>
        <v>5.4348851716151676E-2</v>
      </c>
      <c r="AQ125" s="40">
        <f t="shared" si="338"/>
        <v>1.9599639845400536</v>
      </c>
      <c r="AR125" s="41">
        <f t="shared" si="339"/>
        <v>-0.28133678830832615</v>
      </c>
      <c r="AS125" s="41">
        <f t="shared" si="340"/>
        <v>-6.82912469799037E-2</v>
      </c>
      <c r="AT125" s="53">
        <f t="shared" si="341"/>
        <v>0.75477409357961622</v>
      </c>
      <c r="AU125" s="53">
        <f t="shared" si="341"/>
        <v>0.93398841265622468</v>
      </c>
      <c r="AV125" s="17"/>
      <c r="AX125" s="54"/>
      <c r="AY125" s="54">
        <v>1</v>
      </c>
      <c r="AZ125" s="55"/>
      <c r="BA125" s="55"/>
      <c r="BC125" s="28"/>
      <c r="BD125" s="28"/>
      <c r="BE125" s="2"/>
      <c r="BF125" s="2"/>
      <c r="BG125" s="2"/>
      <c r="BH125" s="2"/>
      <c r="BI125" s="2"/>
      <c r="BJ125" s="2"/>
      <c r="BK125" s="2"/>
      <c r="BL125" s="2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</row>
    <row r="126" spans="1:75" hidden="1">
      <c r="A126" s="424"/>
      <c r="B126" s="56">
        <f>COUNT(D122:D125)</f>
        <v>4</v>
      </c>
      <c r="C126" s="57">
        <f t="shared" ref="C126:H126" si="342">SUM(C122:C125)</f>
        <v>1674</v>
      </c>
      <c r="D126" s="57">
        <f t="shared" si="342"/>
        <v>8690</v>
      </c>
      <c r="E126" s="57">
        <f t="shared" si="342"/>
        <v>10364</v>
      </c>
      <c r="F126" s="57">
        <f t="shared" si="342"/>
        <v>2085</v>
      </c>
      <c r="G126" s="57">
        <f t="shared" si="342"/>
        <v>8276</v>
      </c>
      <c r="H126" s="57">
        <f t="shared" si="342"/>
        <v>10361</v>
      </c>
      <c r="I126" s="58"/>
      <c r="K126" s="59"/>
      <c r="L126" s="113"/>
      <c r="M126" s="61">
        <f>SUM(M122:M125)</f>
        <v>1135.2539349870362</v>
      </c>
      <c r="N126" s="62"/>
      <c r="O126" s="63">
        <f>SUM(O122:O125)</f>
        <v>-249.79581744291954</v>
      </c>
      <c r="P126" s="64">
        <f>O126/M126</f>
        <v>-0.2200351919024813</v>
      </c>
      <c r="Q126" s="497">
        <f>EXP(P126)</f>
        <v>0.80249055629614308</v>
      </c>
      <c r="R126" s="497">
        <f>SQRT(1/M126)</f>
        <v>2.9679288953010221E-2</v>
      </c>
      <c r="S126" s="498">
        <f t="shared" si="325"/>
        <v>1.9599639845400536</v>
      </c>
      <c r="T126" s="499">
        <f>P126-(R126*S126)</f>
        <v>-0.27820552933713882</v>
      </c>
      <c r="U126" s="499">
        <f>P126+(R126*S126)</f>
        <v>-0.16186485446782378</v>
      </c>
      <c r="V126" s="500">
        <f>EXP(T126)</f>
        <v>0.75714119079447961</v>
      </c>
      <c r="W126" s="501">
        <f>EXP(U126)</f>
        <v>0.85055614563611803</v>
      </c>
      <c r="X126" s="66"/>
      <c r="Y126" s="66"/>
      <c r="Z126" s="67"/>
      <c r="AA126" s="68">
        <f>SUM(AA122:AA125)</f>
        <v>1.3821623006428723</v>
      </c>
      <c r="AB126" s="69">
        <f>SUM(AB122:AB125)</f>
        <v>4</v>
      </c>
      <c r="AC126" s="70">
        <f>AA126-(AB126-1)</f>
        <v>-1.6178376993571277</v>
      </c>
      <c r="AD126" s="61">
        <f>M126</f>
        <v>1135.2539349870362</v>
      </c>
      <c r="AE126" s="61">
        <f>SUM(AE122:AE125)</f>
        <v>326265.44737247378</v>
      </c>
      <c r="AF126" s="71">
        <f>AE126/AD126</f>
        <v>287.39424486222941</v>
      </c>
      <c r="AG126" s="72">
        <f>AC126/(AD126-AF126)</f>
        <v>-1.9081431965694447E-3</v>
      </c>
      <c r="AH126" s="72" t="str">
        <f>IF(AA126&lt;AB126-1,"0",AG126)</f>
        <v>0</v>
      </c>
      <c r="AI126" s="67"/>
      <c r="AJ126" s="61">
        <f>SUM(AJ122:AJ125)</f>
        <v>1135.2539349870362</v>
      </c>
      <c r="AK126" s="73">
        <f>SUM(AK122:AK125)</f>
        <v>1</v>
      </c>
      <c r="AL126" s="70">
        <f>SUM(AL122:AL125)</f>
        <v>-249.79581744291954</v>
      </c>
      <c r="AM126" s="70">
        <f>AL126/AJ126</f>
        <v>-0.2200351919024813</v>
      </c>
      <c r="AN126" s="502">
        <f>EXP(AM126)</f>
        <v>0.80249055629614308</v>
      </c>
      <c r="AO126" s="74">
        <f>1/AJ126</f>
        <v>8.8086019275627461E-4</v>
      </c>
      <c r="AP126" s="75">
        <f>SQRT(AO126)</f>
        <v>2.9679288953010221E-2</v>
      </c>
      <c r="AQ126" s="40">
        <f t="shared" si="338"/>
        <v>1.9599639845400536</v>
      </c>
      <c r="AR126" s="65">
        <f>AM126-(AQ126*AP126)</f>
        <v>-0.27820552933713882</v>
      </c>
      <c r="AS126" s="65">
        <f>AM126+(1.96*AP126)</f>
        <v>-0.16186378555458128</v>
      </c>
      <c r="AT126" s="503">
        <f>EXP(AR126)</f>
        <v>0.75714119079447961</v>
      </c>
      <c r="AU126" s="503">
        <f>EXP(AS126)</f>
        <v>0.85055705480733146</v>
      </c>
      <c r="AV126" s="76"/>
      <c r="AW126" s="77"/>
      <c r="AX126" s="78">
        <f>AA126</f>
        <v>1.3821623006428723</v>
      </c>
      <c r="AY126" s="56">
        <f>SUM(AY122:AY125)</f>
        <v>4</v>
      </c>
      <c r="AZ126" s="79">
        <f>(AX126-(AY126-1))/AX126</f>
        <v>-1.1705121016574087</v>
      </c>
      <c r="BA126" s="80" t="str">
        <f>IF(AA126&lt;AB126-1,"0%",AZ126)</f>
        <v>0%</v>
      </c>
      <c r="BB126" s="77"/>
      <c r="BC126" s="63">
        <f>AX126/(AY126-1)</f>
        <v>0.46072076688095742</v>
      </c>
      <c r="BD126" s="81">
        <f>LN(BC126)</f>
        <v>-0.77496313125793614</v>
      </c>
      <c r="BE126" s="63">
        <f>LN(AX126)</f>
        <v>0.32364915741017353</v>
      </c>
      <c r="BF126" s="63">
        <f>LN(AY126-1)</f>
        <v>1.0986122886681098</v>
      </c>
      <c r="BG126" s="63">
        <f>SQRT(2*AX126)</f>
        <v>1.662625815174823</v>
      </c>
      <c r="BH126" s="63">
        <f>SQRT(2*AY126-3)</f>
        <v>2.2360679774997898</v>
      </c>
      <c r="BI126" s="63">
        <f>2*(AY126-2)</f>
        <v>4</v>
      </c>
      <c r="BJ126" s="63">
        <f>3*(AY126-2)^2</f>
        <v>12</v>
      </c>
      <c r="BK126" s="63">
        <f>1/BI126</f>
        <v>0.25</v>
      </c>
      <c r="BL126" s="82">
        <f>1/BJ126</f>
        <v>8.3333333333333329E-2</v>
      </c>
      <c r="BM126" s="82">
        <f>SQRT(BK126*(1-BL126))</f>
        <v>0.47871355387816905</v>
      </c>
      <c r="BN126" s="83">
        <f>0.5*(BE126-BF126)/(BG126-BH126)</f>
        <v>0.67571167780541441</v>
      </c>
      <c r="BO126" s="83">
        <f>IF(AA126&lt;=AB126,BM126,BN126)</f>
        <v>0.47871355387816905</v>
      </c>
      <c r="BP126" s="70">
        <f>BD126-(1.96*BO126)</f>
        <v>-1.7132416968591475</v>
      </c>
      <c r="BQ126" s="70">
        <f>BD126+(1.96*BO126)</f>
        <v>0.16331543434327522</v>
      </c>
      <c r="BR126" s="70"/>
      <c r="BS126" s="81">
        <f>EXP(BP126)</f>
        <v>0.18028042984221415</v>
      </c>
      <c r="BT126" s="81">
        <f>EXP(BQ126)</f>
        <v>1.177408026046731</v>
      </c>
      <c r="BU126" s="84" t="str">
        <f>BA126</f>
        <v>0%</v>
      </c>
      <c r="BV126" s="84">
        <f>(BS126-1)/BS126</f>
        <v>-4.546913776915356</v>
      </c>
      <c r="BW126" s="84">
        <f>(BT126-1)/BT126</f>
        <v>0.15067675956176108</v>
      </c>
    </row>
    <row r="127" spans="1:75" ht="13.5" hidden="1" thickBot="1">
      <c r="A127" s="424"/>
      <c r="C127" s="85"/>
      <c r="D127" s="85"/>
      <c r="E127" s="85"/>
      <c r="F127" s="85"/>
      <c r="G127" s="85"/>
      <c r="H127" s="85"/>
      <c r="I127" s="86"/>
      <c r="R127" s="87"/>
      <c r="S127" s="87"/>
      <c r="T127" s="87"/>
      <c r="U127" s="87"/>
      <c r="V127" s="87"/>
      <c r="W127" s="87"/>
      <c r="X127" s="87"/>
      <c r="AB127" s="88"/>
      <c r="AC127" s="89"/>
      <c r="AD127" s="90"/>
      <c r="AE127" s="89"/>
      <c r="AF127" s="91"/>
      <c r="AG127" s="91"/>
      <c r="AH127" s="91"/>
      <c r="AI127" s="91"/>
      <c r="AT127" s="92"/>
      <c r="AU127" s="92"/>
      <c r="AV127" s="92"/>
      <c r="AX127" s="5" t="s">
        <v>56</v>
      </c>
      <c r="BG127" s="11"/>
      <c r="BN127" s="89" t="s">
        <v>57</v>
      </c>
      <c r="BT127" s="93" t="s">
        <v>58</v>
      </c>
      <c r="BU127" s="504" t="str">
        <f>BU126</f>
        <v>0%</v>
      </c>
      <c r="BV127" s="504" t="str">
        <f>IF(BV126&lt;0,"0%",BV126)</f>
        <v>0%</v>
      </c>
      <c r="BW127" s="505">
        <f>IF(BW126&lt;0,"0%",BW126)</f>
        <v>0.15067675956176108</v>
      </c>
    </row>
    <row r="128" spans="1:75" ht="26.5" hidden="1" thickBot="1">
      <c r="A128" s="424"/>
      <c r="B128" s="5"/>
      <c r="C128" s="94"/>
      <c r="D128" s="94"/>
      <c r="E128" s="94"/>
      <c r="F128" s="94"/>
      <c r="G128" s="94"/>
      <c r="H128" s="94"/>
      <c r="I128" s="95"/>
      <c r="J128" s="5"/>
      <c r="K128" s="5"/>
      <c r="R128" s="96"/>
      <c r="S128" s="96"/>
      <c r="T128" s="96"/>
      <c r="U128" s="96"/>
      <c r="V128" s="96"/>
      <c r="W128" s="96"/>
      <c r="X128" s="96"/>
      <c r="AF128" s="1"/>
      <c r="AI128" s="11"/>
      <c r="AJ128" s="97"/>
      <c r="AK128" s="97"/>
      <c r="AL128" s="98"/>
      <c r="AM128" s="99"/>
      <c r="AO128" s="100" t="s">
        <v>59</v>
      </c>
      <c r="AP128" s="101">
        <f>TINV((1-$H$1),(AB126-2))</f>
        <v>4.3026527297494619</v>
      </c>
      <c r="AR128" s="506" t="s">
        <v>60</v>
      </c>
      <c r="AS128" s="102">
        <f>$H$1</f>
        <v>0.95</v>
      </c>
      <c r="AT128" s="507">
        <f>EXP(AM126-AP128*SQRT((1/AD126)+AH126))</f>
        <v>0.70628611218371373</v>
      </c>
      <c r="AU128" s="507">
        <f>EXP(AM126+AP128*SQRT((1/AD126)+AH126))</f>
        <v>0.91179917293486745</v>
      </c>
      <c r="AV128" s="17"/>
      <c r="AX128" s="103">
        <f>_xlfn.CHISQ.DIST.RT(AX126,AY126-1)</f>
        <v>0.70972126239260547</v>
      </c>
      <c r="AY128" s="104" t="str">
        <f>IF(AX128&lt;0.05,"heterogeneidad","homogeneidad")</f>
        <v>homogeneidad</v>
      </c>
      <c r="BF128" s="105"/>
      <c r="BG128" s="11"/>
      <c r="BH128" s="11"/>
      <c r="BJ128" s="44"/>
      <c r="BL128" s="11"/>
      <c r="BM128" s="106"/>
      <c r="BQ128" s="11"/>
    </row>
    <row r="129" spans="1:75" ht="14.5" hidden="1">
      <c r="A129" s="424"/>
      <c r="B129" s="5"/>
      <c r="C129" s="94"/>
      <c r="D129" s="94"/>
      <c r="E129" s="94"/>
      <c r="F129" s="94"/>
      <c r="G129" s="94"/>
      <c r="H129" s="94"/>
      <c r="I129" s="95"/>
      <c r="J129" s="5"/>
      <c r="K129" s="5"/>
      <c r="R129" s="96"/>
      <c r="S129" s="96"/>
      <c r="T129" s="96"/>
      <c r="U129" s="96"/>
      <c r="V129" s="96"/>
      <c r="W129" s="96"/>
      <c r="X129" s="96"/>
      <c r="AF129" s="1"/>
      <c r="AI129" s="11"/>
      <c r="AJ129" s="97"/>
      <c r="AK129" s="97"/>
      <c r="AL129" s="98"/>
      <c r="AM129" s="99"/>
      <c r="AN129" s="107"/>
      <c r="AO129" s="108"/>
      <c r="AP129" s="14"/>
      <c r="AS129" s="109"/>
      <c r="AT129" s="17"/>
      <c r="AU129" s="17"/>
      <c r="AV129" s="17"/>
      <c r="BF129" s="105"/>
      <c r="BG129" s="11"/>
      <c r="BH129" s="11"/>
      <c r="BJ129" s="44"/>
      <c r="BL129" s="11"/>
      <c r="BM129" s="110"/>
      <c r="BQ129" s="11"/>
    </row>
    <row r="130" spans="1:75" ht="13" hidden="1" customHeight="1">
      <c r="A130" s="424"/>
      <c r="C130" s="85"/>
      <c r="D130" s="85"/>
      <c r="E130" s="85"/>
      <c r="F130" s="85"/>
      <c r="G130" s="85"/>
      <c r="H130" s="85"/>
      <c r="I130" s="86"/>
      <c r="J130" s="619" t="s">
        <v>4</v>
      </c>
      <c r="K130" s="620"/>
      <c r="L130" s="620"/>
      <c r="M130" s="620"/>
      <c r="N130" s="620"/>
      <c r="O130" s="620"/>
      <c r="P130" s="620"/>
      <c r="Q130" s="620"/>
      <c r="R130" s="620"/>
      <c r="S130" s="620"/>
      <c r="T130" s="620"/>
      <c r="U130" s="620"/>
      <c r="V130" s="620"/>
      <c r="W130" s="621"/>
      <c r="X130" s="12"/>
      <c r="Y130" s="619" t="s">
        <v>5</v>
      </c>
      <c r="Z130" s="620"/>
      <c r="AA130" s="620"/>
      <c r="AB130" s="620"/>
      <c r="AC130" s="620"/>
      <c r="AD130" s="620"/>
      <c r="AE130" s="620"/>
      <c r="AF130" s="620"/>
      <c r="AG130" s="620"/>
      <c r="AH130" s="620"/>
      <c r="AI130" s="620"/>
      <c r="AJ130" s="620"/>
      <c r="AK130" s="620"/>
      <c r="AL130" s="620"/>
      <c r="AM130" s="620"/>
      <c r="AN130" s="620"/>
      <c r="AO130" s="620"/>
      <c r="AP130" s="620"/>
      <c r="AQ130" s="620"/>
      <c r="AR130" s="620"/>
      <c r="AS130" s="620"/>
      <c r="AT130" s="620"/>
      <c r="AU130" s="621"/>
      <c r="AV130" s="12"/>
      <c r="AW130" s="619" t="s">
        <v>229</v>
      </c>
      <c r="AX130" s="620"/>
      <c r="AY130" s="620"/>
      <c r="AZ130" s="620"/>
      <c r="BA130" s="620"/>
      <c r="BB130" s="620"/>
      <c r="BC130" s="620"/>
      <c r="BD130" s="620"/>
      <c r="BE130" s="620"/>
      <c r="BF130" s="620"/>
      <c r="BG130" s="620"/>
      <c r="BH130" s="620"/>
      <c r="BI130" s="620"/>
      <c r="BJ130" s="620"/>
      <c r="BK130" s="620"/>
      <c r="BL130" s="620"/>
      <c r="BM130" s="620"/>
      <c r="BN130" s="620"/>
      <c r="BO130" s="620"/>
      <c r="BP130" s="620"/>
      <c r="BQ130" s="620"/>
      <c r="BR130" s="620"/>
      <c r="BS130" s="620"/>
      <c r="BT130" s="620"/>
      <c r="BU130" s="620"/>
      <c r="BV130" s="620"/>
      <c r="BW130" s="621"/>
    </row>
    <row r="131" spans="1:75" hidden="1">
      <c r="A131" s="552"/>
      <c r="B131" s="13" t="s">
        <v>6</v>
      </c>
      <c r="C131" s="618" t="s">
        <v>7</v>
      </c>
      <c r="D131" s="618"/>
      <c r="E131" s="618"/>
      <c r="F131" s="618" t="s">
        <v>8</v>
      </c>
      <c r="G131" s="618"/>
      <c r="H131" s="618"/>
      <c r="I131" s="14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</row>
    <row r="132" spans="1:75" ht="60" hidden="1">
      <c r="A132" s="424"/>
      <c r="B132" s="512"/>
      <c r="C132" s="16" t="s">
        <v>9</v>
      </c>
      <c r="D132" s="16" t="s">
        <v>10</v>
      </c>
      <c r="E132" s="16" t="s">
        <v>11</v>
      </c>
      <c r="F132" s="16" t="s">
        <v>9</v>
      </c>
      <c r="G132" s="16" t="s">
        <v>10</v>
      </c>
      <c r="H132" s="16" t="s">
        <v>11</v>
      </c>
      <c r="I132" s="17"/>
      <c r="K132" s="18" t="s">
        <v>12</v>
      </c>
      <c r="L132" s="18" t="s">
        <v>13</v>
      </c>
      <c r="M132" s="18" t="s">
        <v>14</v>
      </c>
      <c r="N132" s="19" t="s">
        <v>15</v>
      </c>
      <c r="O132" s="19" t="s">
        <v>16</v>
      </c>
      <c r="P132" s="19" t="s">
        <v>17</v>
      </c>
      <c r="Q132" s="495" t="s">
        <v>18</v>
      </c>
      <c r="R132" s="495" t="s">
        <v>19</v>
      </c>
      <c r="S132" s="496" t="s">
        <v>3</v>
      </c>
      <c r="T132" s="495" t="s">
        <v>20</v>
      </c>
      <c r="U132" s="495" t="s">
        <v>21</v>
      </c>
      <c r="V132" s="495" t="s">
        <v>22</v>
      </c>
      <c r="W132" s="495" t="s">
        <v>22</v>
      </c>
      <c r="X132" s="20"/>
      <c r="Y132" s="21"/>
      <c r="Z132" s="22" t="s">
        <v>23</v>
      </c>
      <c r="AA132" s="19" t="s">
        <v>24</v>
      </c>
      <c r="AB132" s="3" t="s">
        <v>25</v>
      </c>
      <c r="AC132" s="3" t="s">
        <v>26</v>
      </c>
      <c r="AD132" s="3" t="s">
        <v>27</v>
      </c>
      <c r="AE132" s="19" t="s">
        <v>28</v>
      </c>
      <c r="AF132" s="19" t="s">
        <v>29</v>
      </c>
      <c r="AG132" s="23" t="s">
        <v>30</v>
      </c>
      <c r="AH132" s="23" t="s">
        <v>31</v>
      </c>
      <c r="AI132" s="3" t="s">
        <v>32</v>
      </c>
      <c r="AJ132" s="19" t="s">
        <v>33</v>
      </c>
      <c r="AK132" s="19" t="s">
        <v>34</v>
      </c>
      <c r="AL132" s="19" t="s">
        <v>35</v>
      </c>
      <c r="AM132" s="3" t="s">
        <v>36</v>
      </c>
      <c r="AN132" s="496" t="s">
        <v>37</v>
      </c>
      <c r="AO132" s="19" t="s">
        <v>38</v>
      </c>
      <c r="AP132" s="19" t="s">
        <v>39</v>
      </c>
      <c r="AQ132" s="3" t="s">
        <v>3</v>
      </c>
      <c r="AR132" s="19" t="s">
        <v>40</v>
      </c>
      <c r="AS132" s="19" t="s">
        <v>41</v>
      </c>
      <c r="AT132" s="495" t="s">
        <v>22</v>
      </c>
      <c r="AU132" s="495" t="s">
        <v>22</v>
      </c>
      <c r="AV132" s="20"/>
      <c r="AX132" s="24" t="s">
        <v>42</v>
      </c>
      <c r="AY132" s="24" t="s">
        <v>25</v>
      </c>
      <c r="AZ132" s="25" t="s">
        <v>61</v>
      </c>
      <c r="BA132" s="26" t="s">
        <v>62</v>
      </c>
      <c r="BC132" s="3" t="s">
        <v>63</v>
      </c>
      <c r="BD132" s="3" t="s">
        <v>64</v>
      </c>
      <c r="BE132" s="3" t="s">
        <v>43</v>
      </c>
      <c r="BF132" s="3" t="s">
        <v>44</v>
      </c>
      <c r="BG132" s="3" t="s">
        <v>45</v>
      </c>
      <c r="BH132" s="3" t="s">
        <v>46</v>
      </c>
      <c r="BI132" s="3" t="s">
        <v>47</v>
      </c>
      <c r="BJ132" s="3" t="s">
        <v>65</v>
      </c>
      <c r="BK132" s="3" t="s">
        <v>48</v>
      </c>
      <c r="BL132" s="3" t="s">
        <v>49</v>
      </c>
      <c r="BM132" s="27" t="s">
        <v>66</v>
      </c>
      <c r="BN132" s="27" t="s">
        <v>67</v>
      </c>
      <c r="BO132" s="27" t="s">
        <v>68</v>
      </c>
      <c r="BP132" s="27" t="s">
        <v>69</v>
      </c>
      <c r="BQ132" s="27" t="s">
        <v>70</v>
      </c>
      <c r="BR132" s="28"/>
      <c r="BS132" s="19" t="s">
        <v>71</v>
      </c>
      <c r="BT132" s="19" t="s">
        <v>72</v>
      </c>
      <c r="BU132" s="495" t="s">
        <v>226</v>
      </c>
      <c r="BV132" s="495" t="s">
        <v>227</v>
      </c>
      <c r="BW132" s="495" t="s">
        <v>228</v>
      </c>
    </row>
    <row r="133" spans="1:75" hidden="1">
      <c r="A133" s="424"/>
      <c r="B133" s="29" t="s">
        <v>50</v>
      </c>
      <c r="C133" s="30"/>
      <c r="D133" s="31">
        <f t="shared" ref="D133:D138" si="343">E133-C133</f>
        <v>0</v>
      </c>
      <c r="E133" s="32"/>
      <c r="F133" s="30"/>
      <c r="G133" s="31">
        <f t="shared" ref="G133:G138" si="344">H133-F133</f>
        <v>0</v>
      </c>
      <c r="H133" s="32"/>
      <c r="I133" s="33"/>
      <c r="K133" s="34" t="e">
        <f t="shared" ref="K133:K138" si="345">(C133/E133)/(F133/H133)</f>
        <v>#DIV/0!</v>
      </c>
      <c r="L133" s="35" t="e">
        <f t="shared" ref="L133:L138" si="346">(D133/(C133*E133)+(G133/(F133*H133)))</f>
        <v>#DIV/0!</v>
      </c>
      <c r="M133" s="36" t="e">
        <f t="shared" ref="M133:M138" si="347">1/L133</f>
        <v>#DIV/0!</v>
      </c>
      <c r="N133" s="37" t="e">
        <f t="shared" ref="N133:N138" si="348">LN(K133)</f>
        <v>#DIV/0!</v>
      </c>
      <c r="O133" s="37" t="e">
        <f t="shared" ref="O133:O138" si="349">M133*N133</f>
        <v>#DIV/0!</v>
      </c>
      <c r="P133" s="37" t="e">
        <f t="shared" ref="P133:P138" si="350">LN(K133)</f>
        <v>#DIV/0!</v>
      </c>
      <c r="Q133" s="111" t="e">
        <f t="shared" ref="Q133:Q138" si="351">K133</f>
        <v>#DIV/0!</v>
      </c>
      <c r="R133" s="39" t="e">
        <f t="shared" ref="R133:R139" si="352">SQRT(1/M133)</f>
        <v>#DIV/0!</v>
      </c>
      <c r="S133" s="40">
        <f>$H$2</f>
        <v>1.9599639845400536</v>
      </c>
      <c r="T133" s="41" t="e">
        <f t="shared" ref="T133:T139" si="353">P133-(R133*S133)</f>
        <v>#DIV/0!</v>
      </c>
      <c r="U133" s="41" t="e">
        <f t="shared" ref="U133:U139" si="354">P133+(R133*S133)</f>
        <v>#DIV/0!</v>
      </c>
      <c r="V133" s="42" t="e">
        <f>EXP(T133)</f>
        <v>#DIV/0!</v>
      </c>
      <c r="W133" s="43" t="e">
        <f>EXP(U133)</f>
        <v>#DIV/0!</v>
      </c>
      <c r="X133" s="44"/>
      <c r="Z133" s="45" t="e">
        <f>(N133-P139)^2</f>
        <v>#DIV/0!</v>
      </c>
      <c r="AA133" s="46" t="e">
        <f t="shared" ref="AA133:AA138" si="355">M133*Z133</f>
        <v>#DIV/0!</v>
      </c>
      <c r="AB133" s="2">
        <v>1</v>
      </c>
      <c r="AC133" s="28"/>
      <c r="AD133" s="28"/>
      <c r="AE133" s="36" t="e">
        <f t="shared" ref="AE133:AE138" si="356">M133^2</f>
        <v>#DIV/0!</v>
      </c>
      <c r="AF133" s="47"/>
      <c r="AG133" s="48" t="e">
        <f>AG139</f>
        <v>#DIV/0!</v>
      </c>
      <c r="AH133" s="48" t="e">
        <f>AH139</f>
        <v>#DIV/0!</v>
      </c>
      <c r="AI133" s="46" t="e">
        <f t="shared" ref="AI133:AI138" si="357">1/M133</f>
        <v>#DIV/0!</v>
      </c>
      <c r="AJ133" s="49" t="e">
        <f t="shared" ref="AJ133:AJ138" si="358">1/(AH133+AI133)</f>
        <v>#DIV/0!</v>
      </c>
      <c r="AK133" s="50" t="e">
        <f>AJ133/AJ139</f>
        <v>#DIV/0!</v>
      </c>
      <c r="AL133" s="51" t="e">
        <f t="shared" ref="AL133:AL138" si="359">AJ133*N133</f>
        <v>#DIV/0!</v>
      </c>
      <c r="AM133" s="51" t="e">
        <f t="shared" ref="AM133:AM139" si="360">AL133/AJ133</f>
        <v>#DIV/0!</v>
      </c>
      <c r="AN133" s="43" t="e">
        <f t="shared" ref="AN133:AN139" si="361">EXP(AM133)</f>
        <v>#DIV/0!</v>
      </c>
      <c r="AO133" s="52" t="e">
        <f t="shared" ref="AO133:AO139" si="362">1/AJ133</f>
        <v>#DIV/0!</v>
      </c>
      <c r="AP133" s="43" t="e">
        <f t="shared" ref="AP133:AP139" si="363">SQRT(AO133)</f>
        <v>#DIV/0!</v>
      </c>
      <c r="AQ133" s="40">
        <f>$H$2</f>
        <v>1.9599639845400536</v>
      </c>
      <c r="AR133" s="41" t="e">
        <f t="shared" ref="AR133:AR139" si="364">AM133-(AQ133*AP133)</f>
        <v>#DIV/0!</v>
      </c>
      <c r="AS133" s="41" t="e">
        <f t="shared" ref="AS133:AS139" si="365">AM133+(1.96*AP133)</f>
        <v>#DIV/0!</v>
      </c>
      <c r="AT133" s="53" t="e">
        <f>EXP(AR133)</f>
        <v>#DIV/0!</v>
      </c>
      <c r="AU133" s="53" t="e">
        <f>EXP(AS133)</f>
        <v>#DIV/0!</v>
      </c>
      <c r="AV133" s="17"/>
      <c r="AX133" s="54"/>
      <c r="AY133" s="54">
        <v>1</v>
      </c>
      <c r="AZ133" s="55"/>
      <c r="BA133" s="55"/>
      <c r="BC133" s="28"/>
      <c r="BD133" s="28"/>
      <c r="BE133" s="2"/>
      <c r="BF133" s="2"/>
      <c r="BG133" s="2"/>
      <c r="BH133" s="2"/>
      <c r="BI133" s="2"/>
      <c r="BJ133" s="2"/>
      <c r="BK133" s="2"/>
      <c r="BL133" s="2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</row>
    <row r="134" spans="1:75" hidden="1">
      <c r="A134" s="424"/>
      <c r="B134" s="29" t="s">
        <v>51</v>
      </c>
      <c r="C134" s="30"/>
      <c r="D134" s="31">
        <f t="shared" si="343"/>
        <v>0</v>
      </c>
      <c r="E134" s="32"/>
      <c r="F134" s="30"/>
      <c r="G134" s="31">
        <f t="shared" si="344"/>
        <v>0</v>
      </c>
      <c r="H134" s="32"/>
      <c r="I134" s="33"/>
      <c r="K134" s="34" t="e">
        <f t="shared" si="345"/>
        <v>#DIV/0!</v>
      </c>
      <c r="L134" s="35" t="e">
        <f t="shared" si="346"/>
        <v>#DIV/0!</v>
      </c>
      <c r="M134" s="36" t="e">
        <f t="shared" si="347"/>
        <v>#DIV/0!</v>
      </c>
      <c r="N134" s="37" t="e">
        <f t="shared" si="348"/>
        <v>#DIV/0!</v>
      </c>
      <c r="O134" s="37" t="e">
        <f t="shared" si="349"/>
        <v>#DIV/0!</v>
      </c>
      <c r="P134" s="37" t="e">
        <f t="shared" si="350"/>
        <v>#DIV/0!</v>
      </c>
      <c r="Q134" s="111" t="e">
        <f t="shared" si="351"/>
        <v>#DIV/0!</v>
      </c>
      <c r="R134" s="39" t="e">
        <f t="shared" si="352"/>
        <v>#DIV/0!</v>
      </c>
      <c r="S134" s="40">
        <f t="shared" ref="S134:S139" si="366">$H$2</f>
        <v>1.9599639845400536</v>
      </c>
      <c r="T134" s="41" t="e">
        <f t="shared" si="353"/>
        <v>#DIV/0!</v>
      </c>
      <c r="U134" s="41" t="e">
        <f t="shared" si="354"/>
        <v>#DIV/0!</v>
      </c>
      <c r="V134" s="42" t="e">
        <f t="shared" ref="V134:W138" si="367">EXP(T134)</f>
        <v>#DIV/0!</v>
      </c>
      <c r="W134" s="43" t="e">
        <f t="shared" si="367"/>
        <v>#DIV/0!</v>
      </c>
      <c r="X134" s="44"/>
      <c r="Z134" s="45" t="e">
        <f>(N134-P139)^2</f>
        <v>#DIV/0!</v>
      </c>
      <c r="AA134" s="46" t="e">
        <f t="shared" si="355"/>
        <v>#DIV/0!</v>
      </c>
      <c r="AB134" s="2">
        <v>1</v>
      </c>
      <c r="AC134" s="28"/>
      <c r="AD134" s="28"/>
      <c r="AE134" s="36" t="e">
        <f t="shared" si="356"/>
        <v>#DIV/0!</v>
      </c>
      <c r="AF134" s="47"/>
      <c r="AG134" s="48" t="e">
        <f>AG139</f>
        <v>#DIV/0!</v>
      </c>
      <c r="AH134" s="48" t="e">
        <f>AH139</f>
        <v>#DIV/0!</v>
      </c>
      <c r="AI134" s="46" t="e">
        <f t="shared" si="357"/>
        <v>#DIV/0!</v>
      </c>
      <c r="AJ134" s="49" t="e">
        <f t="shared" si="358"/>
        <v>#DIV/0!</v>
      </c>
      <c r="AK134" s="50" t="e">
        <f>AJ134/AJ139</f>
        <v>#DIV/0!</v>
      </c>
      <c r="AL134" s="51" t="e">
        <f t="shared" si="359"/>
        <v>#DIV/0!</v>
      </c>
      <c r="AM134" s="51" t="e">
        <f t="shared" si="360"/>
        <v>#DIV/0!</v>
      </c>
      <c r="AN134" s="43" t="e">
        <f t="shared" si="361"/>
        <v>#DIV/0!</v>
      </c>
      <c r="AO134" s="52" t="e">
        <f t="shared" si="362"/>
        <v>#DIV/0!</v>
      </c>
      <c r="AP134" s="43" t="e">
        <f t="shared" si="363"/>
        <v>#DIV/0!</v>
      </c>
      <c r="AQ134" s="40">
        <f t="shared" ref="AQ134:AQ139" si="368">$H$2</f>
        <v>1.9599639845400536</v>
      </c>
      <c r="AR134" s="41" t="e">
        <f t="shared" si="364"/>
        <v>#DIV/0!</v>
      </c>
      <c r="AS134" s="41" t="e">
        <f t="shared" si="365"/>
        <v>#DIV/0!</v>
      </c>
      <c r="AT134" s="53" t="e">
        <f t="shared" ref="AT134:AU138" si="369">EXP(AR134)</f>
        <v>#DIV/0!</v>
      </c>
      <c r="AU134" s="53" t="e">
        <f t="shared" si="369"/>
        <v>#DIV/0!</v>
      </c>
      <c r="AV134" s="17"/>
      <c r="AX134" s="54"/>
      <c r="AY134" s="54">
        <v>1</v>
      </c>
      <c r="AZ134" s="55"/>
      <c r="BA134" s="55"/>
      <c r="BC134" s="28"/>
      <c r="BD134" s="28"/>
      <c r="BE134" s="2"/>
      <c r="BF134" s="2"/>
      <c r="BG134" s="2"/>
      <c r="BH134" s="2"/>
      <c r="BI134" s="2"/>
      <c r="BJ134" s="2"/>
      <c r="BK134" s="2"/>
      <c r="BL134" s="2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</row>
    <row r="135" spans="1:75" hidden="1">
      <c r="A135" s="424"/>
      <c r="B135" s="29" t="s">
        <v>52</v>
      </c>
      <c r="C135" s="30"/>
      <c r="D135" s="31">
        <f t="shared" si="343"/>
        <v>0</v>
      </c>
      <c r="E135" s="32"/>
      <c r="F135" s="30"/>
      <c r="G135" s="31">
        <f t="shared" si="344"/>
        <v>0</v>
      </c>
      <c r="H135" s="32"/>
      <c r="I135" s="33"/>
      <c r="K135" s="34" t="e">
        <f t="shared" si="345"/>
        <v>#DIV/0!</v>
      </c>
      <c r="L135" s="35" t="e">
        <f t="shared" si="346"/>
        <v>#DIV/0!</v>
      </c>
      <c r="M135" s="36" t="e">
        <f t="shared" si="347"/>
        <v>#DIV/0!</v>
      </c>
      <c r="N135" s="37" t="e">
        <f t="shared" si="348"/>
        <v>#DIV/0!</v>
      </c>
      <c r="O135" s="37" t="e">
        <f t="shared" si="349"/>
        <v>#DIV/0!</v>
      </c>
      <c r="P135" s="37" t="e">
        <f t="shared" si="350"/>
        <v>#DIV/0!</v>
      </c>
      <c r="Q135" s="111" t="e">
        <f t="shared" si="351"/>
        <v>#DIV/0!</v>
      </c>
      <c r="R135" s="39" t="e">
        <f t="shared" si="352"/>
        <v>#DIV/0!</v>
      </c>
      <c r="S135" s="40">
        <f t="shared" si="366"/>
        <v>1.9599639845400536</v>
      </c>
      <c r="T135" s="41" t="e">
        <f t="shared" si="353"/>
        <v>#DIV/0!</v>
      </c>
      <c r="U135" s="41" t="e">
        <f t="shared" si="354"/>
        <v>#DIV/0!</v>
      </c>
      <c r="V135" s="42" t="e">
        <f t="shared" si="367"/>
        <v>#DIV/0!</v>
      </c>
      <c r="W135" s="43" t="e">
        <f t="shared" si="367"/>
        <v>#DIV/0!</v>
      </c>
      <c r="X135" s="44"/>
      <c r="Z135" s="45" t="e">
        <f>(N135-P139)^2</f>
        <v>#DIV/0!</v>
      </c>
      <c r="AA135" s="46" t="e">
        <f t="shared" si="355"/>
        <v>#DIV/0!</v>
      </c>
      <c r="AB135" s="2">
        <v>1</v>
      </c>
      <c r="AC135" s="28"/>
      <c r="AD135" s="28"/>
      <c r="AE135" s="36" t="e">
        <f t="shared" si="356"/>
        <v>#DIV/0!</v>
      </c>
      <c r="AF135" s="47"/>
      <c r="AG135" s="48" t="e">
        <f>AG139</f>
        <v>#DIV/0!</v>
      </c>
      <c r="AH135" s="48" t="e">
        <f>AH139</f>
        <v>#DIV/0!</v>
      </c>
      <c r="AI135" s="46" t="e">
        <f t="shared" si="357"/>
        <v>#DIV/0!</v>
      </c>
      <c r="AJ135" s="49" t="e">
        <f t="shared" si="358"/>
        <v>#DIV/0!</v>
      </c>
      <c r="AK135" s="50" t="e">
        <f>AJ135/AJ139</f>
        <v>#DIV/0!</v>
      </c>
      <c r="AL135" s="51" t="e">
        <f t="shared" si="359"/>
        <v>#DIV/0!</v>
      </c>
      <c r="AM135" s="51" t="e">
        <f t="shared" si="360"/>
        <v>#DIV/0!</v>
      </c>
      <c r="AN135" s="43" t="e">
        <f t="shared" si="361"/>
        <v>#DIV/0!</v>
      </c>
      <c r="AO135" s="52" t="e">
        <f t="shared" si="362"/>
        <v>#DIV/0!</v>
      </c>
      <c r="AP135" s="43" t="e">
        <f t="shared" si="363"/>
        <v>#DIV/0!</v>
      </c>
      <c r="AQ135" s="40">
        <f t="shared" si="368"/>
        <v>1.9599639845400536</v>
      </c>
      <c r="AR135" s="41" t="e">
        <f t="shared" si="364"/>
        <v>#DIV/0!</v>
      </c>
      <c r="AS135" s="41" t="e">
        <f t="shared" si="365"/>
        <v>#DIV/0!</v>
      </c>
      <c r="AT135" s="53" t="e">
        <f t="shared" si="369"/>
        <v>#DIV/0!</v>
      </c>
      <c r="AU135" s="53" t="e">
        <f t="shared" si="369"/>
        <v>#DIV/0!</v>
      </c>
      <c r="AV135" s="17"/>
      <c r="AX135" s="54"/>
      <c r="AY135" s="54">
        <v>1</v>
      </c>
      <c r="AZ135" s="55"/>
      <c r="BA135" s="55"/>
      <c r="BC135" s="28"/>
      <c r="BD135" s="28"/>
      <c r="BE135" s="2"/>
      <c r="BF135" s="2"/>
      <c r="BG135" s="2"/>
      <c r="BH135" s="2"/>
      <c r="BI135" s="2"/>
      <c r="BJ135" s="2"/>
      <c r="BK135" s="2"/>
      <c r="BL135" s="2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</row>
    <row r="136" spans="1:75" hidden="1">
      <c r="A136" s="424"/>
      <c r="B136" s="29" t="s">
        <v>53</v>
      </c>
      <c r="C136" s="30"/>
      <c r="D136" s="31">
        <f t="shared" si="343"/>
        <v>0</v>
      </c>
      <c r="E136" s="32"/>
      <c r="F136" s="30"/>
      <c r="G136" s="31">
        <f t="shared" si="344"/>
        <v>0</v>
      </c>
      <c r="H136" s="32"/>
      <c r="I136" s="33"/>
      <c r="K136" s="34" t="e">
        <f t="shared" si="345"/>
        <v>#DIV/0!</v>
      </c>
      <c r="L136" s="35" t="e">
        <f t="shared" si="346"/>
        <v>#DIV/0!</v>
      </c>
      <c r="M136" s="36" t="e">
        <f t="shared" si="347"/>
        <v>#DIV/0!</v>
      </c>
      <c r="N136" s="37" t="e">
        <f t="shared" si="348"/>
        <v>#DIV/0!</v>
      </c>
      <c r="O136" s="37" t="e">
        <f t="shared" si="349"/>
        <v>#DIV/0!</v>
      </c>
      <c r="P136" s="37" t="e">
        <f t="shared" si="350"/>
        <v>#DIV/0!</v>
      </c>
      <c r="Q136" s="111" t="e">
        <f t="shared" si="351"/>
        <v>#DIV/0!</v>
      </c>
      <c r="R136" s="39" t="e">
        <f t="shared" si="352"/>
        <v>#DIV/0!</v>
      </c>
      <c r="S136" s="40">
        <f t="shared" si="366"/>
        <v>1.9599639845400536</v>
      </c>
      <c r="T136" s="41" t="e">
        <f t="shared" si="353"/>
        <v>#DIV/0!</v>
      </c>
      <c r="U136" s="41" t="e">
        <f t="shared" si="354"/>
        <v>#DIV/0!</v>
      </c>
      <c r="V136" s="42" t="e">
        <f t="shared" si="367"/>
        <v>#DIV/0!</v>
      </c>
      <c r="W136" s="43" t="e">
        <f t="shared" si="367"/>
        <v>#DIV/0!</v>
      </c>
      <c r="X136" s="44"/>
      <c r="Z136" s="45" t="e">
        <f>(N136-P139)^2</f>
        <v>#DIV/0!</v>
      </c>
      <c r="AA136" s="46" t="e">
        <f t="shared" si="355"/>
        <v>#DIV/0!</v>
      </c>
      <c r="AB136" s="2">
        <v>1</v>
      </c>
      <c r="AC136" s="28"/>
      <c r="AD136" s="28"/>
      <c r="AE136" s="36" t="e">
        <f t="shared" si="356"/>
        <v>#DIV/0!</v>
      </c>
      <c r="AF136" s="47"/>
      <c r="AG136" s="48" t="e">
        <f>AG139</f>
        <v>#DIV/0!</v>
      </c>
      <c r="AH136" s="48" t="e">
        <f>AH139</f>
        <v>#DIV/0!</v>
      </c>
      <c r="AI136" s="46" t="e">
        <f t="shared" si="357"/>
        <v>#DIV/0!</v>
      </c>
      <c r="AJ136" s="49" t="e">
        <f t="shared" si="358"/>
        <v>#DIV/0!</v>
      </c>
      <c r="AK136" s="50" t="e">
        <f>AJ136/AJ139</f>
        <v>#DIV/0!</v>
      </c>
      <c r="AL136" s="51" t="e">
        <f t="shared" si="359"/>
        <v>#DIV/0!</v>
      </c>
      <c r="AM136" s="51" t="e">
        <f t="shared" si="360"/>
        <v>#DIV/0!</v>
      </c>
      <c r="AN136" s="43" t="e">
        <f t="shared" si="361"/>
        <v>#DIV/0!</v>
      </c>
      <c r="AO136" s="52" t="e">
        <f t="shared" si="362"/>
        <v>#DIV/0!</v>
      </c>
      <c r="AP136" s="43" t="e">
        <f t="shared" si="363"/>
        <v>#DIV/0!</v>
      </c>
      <c r="AQ136" s="40">
        <f t="shared" si="368"/>
        <v>1.9599639845400536</v>
      </c>
      <c r="AR136" s="41" t="e">
        <f t="shared" si="364"/>
        <v>#DIV/0!</v>
      </c>
      <c r="AS136" s="41" t="e">
        <f t="shared" si="365"/>
        <v>#DIV/0!</v>
      </c>
      <c r="AT136" s="53" t="e">
        <f t="shared" si="369"/>
        <v>#DIV/0!</v>
      </c>
      <c r="AU136" s="53" t="e">
        <f t="shared" si="369"/>
        <v>#DIV/0!</v>
      </c>
      <c r="AV136" s="17"/>
      <c r="AX136" s="54"/>
      <c r="AY136" s="54">
        <v>1</v>
      </c>
      <c r="AZ136" s="55"/>
      <c r="BA136" s="55"/>
      <c r="BC136" s="28"/>
      <c r="BD136" s="28"/>
      <c r="BE136" s="2"/>
      <c r="BF136" s="2"/>
      <c r="BG136" s="2"/>
      <c r="BH136" s="2"/>
      <c r="BI136" s="2"/>
      <c r="BJ136" s="2"/>
      <c r="BK136" s="2"/>
      <c r="BL136" s="2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</row>
    <row r="137" spans="1:75" hidden="1">
      <c r="A137" s="424"/>
      <c r="B137" s="29" t="s">
        <v>54</v>
      </c>
      <c r="C137" s="30"/>
      <c r="D137" s="31">
        <f t="shared" si="343"/>
        <v>0</v>
      </c>
      <c r="E137" s="32"/>
      <c r="F137" s="30"/>
      <c r="G137" s="31">
        <f t="shared" si="344"/>
        <v>0</v>
      </c>
      <c r="H137" s="32"/>
      <c r="I137" s="33"/>
      <c r="K137" s="34" t="e">
        <f t="shared" si="345"/>
        <v>#DIV/0!</v>
      </c>
      <c r="L137" s="35" t="e">
        <f t="shared" si="346"/>
        <v>#DIV/0!</v>
      </c>
      <c r="M137" s="36" t="e">
        <f t="shared" si="347"/>
        <v>#DIV/0!</v>
      </c>
      <c r="N137" s="37" t="e">
        <f t="shared" si="348"/>
        <v>#DIV/0!</v>
      </c>
      <c r="O137" s="37" t="e">
        <f t="shared" si="349"/>
        <v>#DIV/0!</v>
      </c>
      <c r="P137" s="37" t="e">
        <f t="shared" si="350"/>
        <v>#DIV/0!</v>
      </c>
      <c r="Q137" s="111" t="e">
        <f t="shared" si="351"/>
        <v>#DIV/0!</v>
      </c>
      <c r="R137" s="39" t="e">
        <f t="shared" si="352"/>
        <v>#DIV/0!</v>
      </c>
      <c r="S137" s="40">
        <f t="shared" si="366"/>
        <v>1.9599639845400536</v>
      </c>
      <c r="T137" s="41" t="e">
        <f t="shared" si="353"/>
        <v>#DIV/0!</v>
      </c>
      <c r="U137" s="41" t="e">
        <f t="shared" si="354"/>
        <v>#DIV/0!</v>
      </c>
      <c r="V137" s="42" t="e">
        <f t="shared" si="367"/>
        <v>#DIV/0!</v>
      </c>
      <c r="W137" s="43" t="e">
        <f t="shared" si="367"/>
        <v>#DIV/0!</v>
      </c>
      <c r="X137" s="44"/>
      <c r="Z137" s="45" t="e">
        <f>(N137-P139)^2</f>
        <v>#DIV/0!</v>
      </c>
      <c r="AA137" s="46" t="e">
        <f t="shared" si="355"/>
        <v>#DIV/0!</v>
      </c>
      <c r="AB137" s="2">
        <v>1</v>
      </c>
      <c r="AC137" s="28"/>
      <c r="AD137" s="28"/>
      <c r="AE137" s="36" t="e">
        <f t="shared" si="356"/>
        <v>#DIV/0!</v>
      </c>
      <c r="AF137" s="47"/>
      <c r="AG137" s="48" t="e">
        <f>AG139</f>
        <v>#DIV/0!</v>
      </c>
      <c r="AH137" s="48" t="e">
        <f>AH139</f>
        <v>#DIV/0!</v>
      </c>
      <c r="AI137" s="46" t="e">
        <f t="shared" si="357"/>
        <v>#DIV/0!</v>
      </c>
      <c r="AJ137" s="49" t="e">
        <f t="shared" si="358"/>
        <v>#DIV/0!</v>
      </c>
      <c r="AK137" s="50" t="e">
        <f>AJ137/AJ139</f>
        <v>#DIV/0!</v>
      </c>
      <c r="AL137" s="51" t="e">
        <f t="shared" si="359"/>
        <v>#DIV/0!</v>
      </c>
      <c r="AM137" s="51" t="e">
        <f t="shared" si="360"/>
        <v>#DIV/0!</v>
      </c>
      <c r="AN137" s="43" t="e">
        <f t="shared" si="361"/>
        <v>#DIV/0!</v>
      </c>
      <c r="AO137" s="52" t="e">
        <f t="shared" si="362"/>
        <v>#DIV/0!</v>
      </c>
      <c r="AP137" s="43" t="e">
        <f t="shared" si="363"/>
        <v>#DIV/0!</v>
      </c>
      <c r="AQ137" s="40">
        <f t="shared" si="368"/>
        <v>1.9599639845400536</v>
      </c>
      <c r="AR137" s="41" t="e">
        <f t="shared" si="364"/>
        <v>#DIV/0!</v>
      </c>
      <c r="AS137" s="41" t="e">
        <f t="shared" si="365"/>
        <v>#DIV/0!</v>
      </c>
      <c r="AT137" s="53" t="e">
        <f t="shared" si="369"/>
        <v>#DIV/0!</v>
      </c>
      <c r="AU137" s="53" t="e">
        <f t="shared" si="369"/>
        <v>#DIV/0!</v>
      </c>
      <c r="AV137" s="17"/>
      <c r="AX137" s="54"/>
      <c r="AY137" s="54">
        <v>1</v>
      </c>
      <c r="AZ137" s="55"/>
      <c r="BA137" s="55"/>
      <c r="BC137" s="28"/>
      <c r="BD137" s="28"/>
      <c r="BE137" s="2"/>
      <c r="BF137" s="2"/>
      <c r="BG137" s="2"/>
      <c r="BH137" s="2"/>
      <c r="BI137" s="2"/>
      <c r="BJ137" s="2"/>
      <c r="BK137" s="2"/>
      <c r="BL137" s="2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</row>
    <row r="138" spans="1:75" hidden="1">
      <c r="A138" s="424"/>
      <c r="B138" s="29" t="s">
        <v>55</v>
      </c>
      <c r="C138" s="30"/>
      <c r="D138" s="31">
        <f t="shared" si="343"/>
        <v>0</v>
      </c>
      <c r="E138" s="32"/>
      <c r="F138" s="30"/>
      <c r="G138" s="31">
        <f t="shared" si="344"/>
        <v>0</v>
      </c>
      <c r="H138" s="32"/>
      <c r="I138" s="33"/>
      <c r="K138" s="34" t="e">
        <f t="shared" si="345"/>
        <v>#DIV/0!</v>
      </c>
      <c r="L138" s="35" t="e">
        <f t="shared" si="346"/>
        <v>#DIV/0!</v>
      </c>
      <c r="M138" s="36" t="e">
        <f t="shared" si="347"/>
        <v>#DIV/0!</v>
      </c>
      <c r="N138" s="37" t="e">
        <f t="shared" si="348"/>
        <v>#DIV/0!</v>
      </c>
      <c r="O138" s="37" t="e">
        <f t="shared" si="349"/>
        <v>#DIV/0!</v>
      </c>
      <c r="P138" s="37" t="e">
        <f t="shared" si="350"/>
        <v>#DIV/0!</v>
      </c>
      <c r="Q138" s="111" t="e">
        <f t="shared" si="351"/>
        <v>#DIV/0!</v>
      </c>
      <c r="R138" s="39" t="e">
        <f t="shared" si="352"/>
        <v>#DIV/0!</v>
      </c>
      <c r="S138" s="40">
        <f t="shared" si="366"/>
        <v>1.9599639845400536</v>
      </c>
      <c r="T138" s="41" t="e">
        <f t="shared" si="353"/>
        <v>#DIV/0!</v>
      </c>
      <c r="U138" s="41" t="e">
        <f t="shared" si="354"/>
        <v>#DIV/0!</v>
      </c>
      <c r="V138" s="42" t="e">
        <f t="shared" si="367"/>
        <v>#DIV/0!</v>
      </c>
      <c r="W138" s="43" t="e">
        <f t="shared" si="367"/>
        <v>#DIV/0!</v>
      </c>
      <c r="X138" s="44"/>
      <c r="Z138" s="45" t="e">
        <f>(N138-P139)^2</f>
        <v>#DIV/0!</v>
      </c>
      <c r="AA138" s="46" t="e">
        <f t="shared" si="355"/>
        <v>#DIV/0!</v>
      </c>
      <c r="AB138" s="2">
        <v>1</v>
      </c>
      <c r="AC138" s="28"/>
      <c r="AD138" s="28"/>
      <c r="AE138" s="36" t="e">
        <f t="shared" si="356"/>
        <v>#DIV/0!</v>
      </c>
      <c r="AF138" s="47"/>
      <c r="AG138" s="48" t="e">
        <f>AG139</f>
        <v>#DIV/0!</v>
      </c>
      <c r="AH138" s="48" t="e">
        <f>AH139</f>
        <v>#DIV/0!</v>
      </c>
      <c r="AI138" s="46" t="e">
        <f t="shared" si="357"/>
        <v>#DIV/0!</v>
      </c>
      <c r="AJ138" s="49" t="e">
        <f t="shared" si="358"/>
        <v>#DIV/0!</v>
      </c>
      <c r="AK138" s="50" t="e">
        <f>AJ138/AJ139</f>
        <v>#DIV/0!</v>
      </c>
      <c r="AL138" s="51" t="e">
        <f t="shared" si="359"/>
        <v>#DIV/0!</v>
      </c>
      <c r="AM138" s="51" t="e">
        <f t="shared" si="360"/>
        <v>#DIV/0!</v>
      </c>
      <c r="AN138" s="43" t="e">
        <f t="shared" si="361"/>
        <v>#DIV/0!</v>
      </c>
      <c r="AO138" s="52" t="e">
        <f t="shared" si="362"/>
        <v>#DIV/0!</v>
      </c>
      <c r="AP138" s="43" t="e">
        <f t="shared" si="363"/>
        <v>#DIV/0!</v>
      </c>
      <c r="AQ138" s="40">
        <f t="shared" si="368"/>
        <v>1.9599639845400536</v>
      </c>
      <c r="AR138" s="41" t="e">
        <f t="shared" si="364"/>
        <v>#DIV/0!</v>
      </c>
      <c r="AS138" s="41" t="e">
        <f t="shared" si="365"/>
        <v>#DIV/0!</v>
      </c>
      <c r="AT138" s="53" t="e">
        <f t="shared" si="369"/>
        <v>#DIV/0!</v>
      </c>
      <c r="AU138" s="53" t="e">
        <f t="shared" si="369"/>
        <v>#DIV/0!</v>
      </c>
      <c r="AV138" s="17"/>
      <c r="AX138" s="54"/>
      <c r="AY138" s="54">
        <v>1</v>
      </c>
      <c r="AZ138" s="55"/>
      <c r="BA138" s="55"/>
      <c r="BC138" s="28"/>
      <c r="BD138" s="28"/>
      <c r="BE138" s="2"/>
      <c r="BF138" s="2"/>
      <c r="BG138" s="2"/>
      <c r="BH138" s="2"/>
      <c r="BI138" s="2"/>
      <c r="BJ138" s="2"/>
      <c r="BK138" s="2"/>
      <c r="BL138" s="2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</row>
    <row r="139" spans="1:75" hidden="1">
      <c r="A139" s="424"/>
      <c r="B139" s="56">
        <f>COUNT(D133:D138)</f>
        <v>6</v>
      </c>
      <c r="C139" s="57">
        <f t="shared" ref="C139:H139" si="370">SUM(C133:C138)</f>
        <v>0</v>
      </c>
      <c r="D139" s="57">
        <f t="shared" si="370"/>
        <v>0</v>
      </c>
      <c r="E139" s="57">
        <f t="shared" si="370"/>
        <v>0</v>
      </c>
      <c r="F139" s="57">
        <f t="shared" si="370"/>
        <v>0</v>
      </c>
      <c r="G139" s="57">
        <f t="shared" si="370"/>
        <v>0</v>
      </c>
      <c r="H139" s="57">
        <f t="shared" si="370"/>
        <v>0</v>
      </c>
      <c r="I139" s="58"/>
      <c r="K139" s="59"/>
      <c r="L139" s="113"/>
      <c r="M139" s="61" t="e">
        <f>SUM(M133:M138)</f>
        <v>#DIV/0!</v>
      </c>
      <c r="N139" s="62"/>
      <c r="O139" s="63" t="e">
        <f>SUM(O133:O138)</f>
        <v>#DIV/0!</v>
      </c>
      <c r="P139" s="64" t="e">
        <f>O139/M139</f>
        <v>#DIV/0!</v>
      </c>
      <c r="Q139" s="497" t="e">
        <f>EXP(P139)</f>
        <v>#DIV/0!</v>
      </c>
      <c r="R139" s="497" t="e">
        <f t="shared" si="352"/>
        <v>#DIV/0!</v>
      </c>
      <c r="S139" s="498">
        <f t="shared" si="366"/>
        <v>1.9599639845400536</v>
      </c>
      <c r="T139" s="499" t="e">
        <f t="shared" si="353"/>
        <v>#DIV/0!</v>
      </c>
      <c r="U139" s="499" t="e">
        <f t="shared" si="354"/>
        <v>#DIV/0!</v>
      </c>
      <c r="V139" s="500" t="e">
        <f>EXP(T139)</f>
        <v>#DIV/0!</v>
      </c>
      <c r="W139" s="501" t="e">
        <f>EXP(U139)</f>
        <v>#DIV/0!</v>
      </c>
      <c r="X139" s="66"/>
      <c r="Y139" s="66"/>
      <c r="Z139" s="67"/>
      <c r="AA139" s="68" t="e">
        <f>SUM(AA133:AA138)</f>
        <v>#DIV/0!</v>
      </c>
      <c r="AB139" s="69">
        <f>SUM(AB133:AB138)</f>
        <v>6</v>
      </c>
      <c r="AC139" s="70" t="e">
        <f>AA139-(AB139-1)</f>
        <v>#DIV/0!</v>
      </c>
      <c r="AD139" s="61" t="e">
        <f>M139</f>
        <v>#DIV/0!</v>
      </c>
      <c r="AE139" s="61" t="e">
        <f>SUM(AE133:AE138)</f>
        <v>#DIV/0!</v>
      </c>
      <c r="AF139" s="71" t="e">
        <f>AE139/AD139</f>
        <v>#DIV/0!</v>
      </c>
      <c r="AG139" s="72" t="e">
        <f>AC139/(AD139-AF139)</f>
        <v>#DIV/0!</v>
      </c>
      <c r="AH139" s="72" t="e">
        <f>IF(AA139&lt;AB139-1,"0",AG139)</f>
        <v>#DIV/0!</v>
      </c>
      <c r="AI139" s="67"/>
      <c r="AJ139" s="61" t="e">
        <f>SUM(AJ133:AJ138)</f>
        <v>#DIV/0!</v>
      </c>
      <c r="AK139" s="73" t="e">
        <f>SUM(AK133:AK138)</f>
        <v>#DIV/0!</v>
      </c>
      <c r="AL139" s="70" t="e">
        <f>SUM(AL133:AL138)</f>
        <v>#DIV/0!</v>
      </c>
      <c r="AM139" s="70" t="e">
        <f t="shared" si="360"/>
        <v>#DIV/0!</v>
      </c>
      <c r="AN139" s="502" t="e">
        <f t="shared" si="361"/>
        <v>#DIV/0!</v>
      </c>
      <c r="AO139" s="74" t="e">
        <f t="shared" si="362"/>
        <v>#DIV/0!</v>
      </c>
      <c r="AP139" s="75" t="e">
        <f t="shared" si="363"/>
        <v>#DIV/0!</v>
      </c>
      <c r="AQ139" s="40">
        <f t="shared" si="368"/>
        <v>1.9599639845400536</v>
      </c>
      <c r="AR139" s="65" t="e">
        <f t="shared" si="364"/>
        <v>#DIV/0!</v>
      </c>
      <c r="AS139" s="65" t="e">
        <f t="shared" si="365"/>
        <v>#DIV/0!</v>
      </c>
      <c r="AT139" s="503" t="e">
        <f>EXP(AR139)</f>
        <v>#DIV/0!</v>
      </c>
      <c r="AU139" s="503" t="e">
        <f>EXP(AS139)</f>
        <v>#DIV/0!</v>
      </c>
      <c r="AV139" s="76"/>
      <c r="AW139" s="77"/>
      <c r="AX139" s="78" t="e">
        <f>AA139</f>
        <v>#DIV/0!</v>
      </c>
      <c r="AY139" s="56">
        <f>SUM(AY133:AY138)</f>
        <v>6</v>
      </c>
      <c r="AZ139" s="79" t="e">
        <f>(AX139-(AY139-1))/AX139</f>
        <v>#DIV/0!</v>
      </c>
      <c r="BA139" s="80" t="e">
        <f>IF(AA139&lt;AB139-1,"0%",AZ139)</f>
        <v>#DIV/0!</v>
      </c>
      <c r="BB139" s="77"/>
      <c r="BC139" s="63" t="e">
        <f>AX139/(AY139-1)</f>
        <v>#DIV/0!</v>
      </c>
      <c r="BD139" s="81" t="e">
        <f>LN(BC139)</f>
        <v>#DIV/0!</v>
      </c>
      <c r="BE139" s="63" t="e">
        <f>LN(AX139)</f>
        <v>#DIV/0!</v>
      </c>
      <c r="BF139" s="63">
        <f>LN(AY139-1)</f>
        <v>1.6094379124341003</v>
      </c>
      <c r="BG139" s="63" t="e">
        <f>SQRT(2*AX139)</f>
        <v>#DIV/0!</v>
      </c>
      <c r="BH139" s="63">
        <f>SQRT(2*AY139-3)</f>
        <v>3</v>
      </c>
      <c r="BI139" s="63">
        <f>2*(AY139-2)</f>
        <v>8</v>
      </c>
      <c r="BJ139" s="63">
        <f>3*(AY139-2)^2</f>
        <v>48</v>
      </c>
      <c r="BK139" s="63">
        <f>1/BI139</f>
        <v>0.125</v>
      </c>
      <c r="BL139" s="82">
        <f>1/BJ139</f>
        <v>2.0833333333333332E-2</v>
      </c>
      <c r="BM139" s="82">
        <f>SQRT(BK139*(1-BL139))</f>
        <v>0.34985115882805551</v>
      </c>
      <c r="BN139" s="83" t="e">
        <f>0.5*(BE139-BF139)/(BG139-BH139)</f>
        <v>#DIV/0!</v>
      </c>
      <c r="BO139" s="83" t="e">
        <f>IF(AA139&lt;=AB139,BM139,BN139)</f>
        <v>#DIV/0!</v>
      </c>
      <c r="BP139" s="70" t="e">
        <f>BD139-(1.96*BO139)</f>
        <v>#DIV/0!</v>
      </c>
      <c r="BQ139" s="70" t="e">
        <f>BD139+(1.96*BO139)</f>
        <v>#DIV/0!</v>
      </c>
      <c r="BR139" s="70"/>
      <c r="BS139" s="81" t="e">
        <f>EXP(BP139)</f>
        <v>#DIV/0!</v>
      </c>
      <c r="BT139" s="81" t="e">
        <f>EXP(BQ139)</f>
        <v>#DIV/0!</v>
      </c>
      <c r="BU139" s="84" t="e">
        <f>BA139</f>
        <v>#DIV/0!</v>
      </c>
      <c r="BV139" s="84" t="e">
        <f>(BS139-1)/BS139</f>
        <v>#DIV/0!</v>
      </c>
      <c r="BW139" s="84" t="e">
        <f>(BT139-1)/BT139</f>
        <v>#DIV/0!</v>
      </c>
    </row>
    <row r="140" spans="1:75" ht="13.5" hidden="1" thickBot="1">
      <c r="A140" s="424"/>
      <c r="C140" s="85"/>
      <c r="D140" s="85"/>
      <c r="E140" s="85"/>
      <c r="F140" s="85"/>
      <c r="G140" s="85"/>
      <c r="H140" s="85"/>
      <c r="I140" s="86"/>
      <c r="R140" s="87"/>
      <c r="S140" s="87"/>
      <c r="T140" s="87"/>
      <c r="U140" s="87"/>
      <c r="V140" s="87"/>
      <c r="W140" s="87"/>
      <c r="X140" s="87"/>
      <c r="AB140" s="88"/>
      <c r="AC140" s="89"/>
      <c r="AD140" s="90"/>
      <c r="AE140" s="89"/>
      <c r="AF140" s="91"/>
      <c r="AG140" s="91"/>
      <c r="AH140" s="91"/>
      <c r="AI140" s="91"/>
      <c r="AT140" s="92"/>
      <c r="AU140" s="92"/>
      <c r="AV140" s="92"/>
      <c r="AX140" s="5" t="s">
        <v>56</v>
      </c>
      <c r="BG140" s="11"/>
      <c r="BN140" s="89" t="s">
        <v>57</v>
      </c>
      <c r="BT140" s="93" t="s">
        <v>58</v>
      </c>
      <c r="BU140" s="504" t="e">
        <f>BU139</f>
        <v>#DIV/0!</v>
      </c>
      <c r="BV140" s="504" t="e">
        <f>IF(BV139&lt;0,"0%",BV139)</f>
        <v>#DIV/0!</v>
      </c>
      <c r="BW140" s="505" t="e">
        <f>IF(BW139&lt;0,"0%",BW139)</f>
        <v>#DIV/0!</v>
      </c>
    </row>
    <row r="141" spans="1:75" ht="26.5" hidden="1" thickBot="1">
      <c r="A141" s="424"/>
      <c r="B141" s="5"/>
      <c r="C141" s="94"/>
      <c r="D141" s="94"/>
      <c r="E141" s="94"/>
      <c r="F141" s="94"/>
      <c r="G141" s="94"/>
      <c r="H141" s="94"/>
      <c r="I141" s="95"/>
      <c r="J141" s="5"/>
      <c r="K141" s="5"/>
      <c r="R141" s="96"/>
      <c r="S141" s="96"/>
      <c r="T141" s="96"/>
      <c r="U141" s="96"/>
      <c r="V141" s="96"/>
      <c r="W141" s="96"/>
      <c r="X141" s="96"/>
      <c r="AF141" s="1"/>
      <c r="AI141" s="11"/>
      <c r="AJ141" s="97"/>
      <c r="AK141" s="97"/>
      <c r="AL141" s="98"/>
      <c r="AM141" s="99"/>
      <c r="AO141" s="100" t="s">
        <v>59</v>
      </c>
      <c r="AP141" s="101">
        <f>TINV((1-$H$1),(AB139-2))</f>
        <v>2.776445105197793</v>
      </c>
      <c r="AR141" s="506" t="s">
        <v>60</v>
      </c>
      <c r="AS141" s="102">
        <f>$H$1</f>
        <v>0.95</v>
      </c>
      <c r="AT141" s="507" t="e">
        <f>EXP(AM139-AP141*SQRT((1/AD139)+AH139))</f>
        <v>#DIV/0!</v>
      </c>
      <c r="AU141" s="507" t="e">
        <f>EXP(AM139+AP141*SQRT((1/AD139)+AH139))</f>
        <v>#DIV/0!</v>
      </c>
      <c r="AV141" s="17"/>
      <c r="AX141" s="103" t="e">
        <f>_xlfn.CHISQ.DIST.RT(AX139,AY139-1)</f>
        <v>#DIV/0!</v>
      </c>
      <c r="AY141" s="104" t="e">
        <f>IF(AX141&lt;0.05,"heterogeneidad","homogeneidad")</f>
        <v>#DIV/0!</v>
      </c>
      <c r="BF141" s="105"/>
      <c r="BG141" s="11"/>
      <c r="BH141" s="11"/>
      <c r="BJ141" s="44"/>
      <c r="BL141" s="11"/>
      <c r="BM141" s="106"/>
      <c r="BQ141" s="11"/>
    </row>
    <row r="142" spans="1:75" ht="14.5" hidden="1">
      <c r="A142" s="424"/>
      <c r="B142" s="5"/>
      <c r="C142" s="94"/>
      <c r="D142" s="94"/>
      <c r="E142" s="94"/>
      <c r="F142" s="94"/>
      <c r="G142" s="94"/>
      <c r="H142" s="94"/>
      <c r="I142" s="95"/>
      <c r="J142" s="5"/>
      <c r="K142" s="5"/>
      <c r="R142" s="96"/>
      <c r="S142" s="96"/>
      <c r="T142" s="96"/>
      <c r="U142" s="96"/>
      <c r="V142" s="96"/>
      <c r="W142" s="96"/>
      <c r="X142" s="96"/>
      <c r="AF142" s="1"/>
      <c r="AI142" s="11"/>
      <c r="AJ142" s="97"/>
      <c r="AK142" s="97"/>
      <c r="AL142" s="98"/>
      <c r="AM142" s="99"/>
      <c r="AN142" s="107"/>
      <c r="AO142" s="108"/>
      <c r="AP142" s="14"/>
      <c r="AS142" s="109"/>
      <c r="AT142" s="17"/>
      <c r="AU142" s="17"/>
      <c r="AV142" s="17"/>
      <c r="BF142" s="105"/>
      <c r="BG142" s="11"/>
      <c r="BH142" s="11"/>
      <c r="BJ142" s="44"/>
      <c r="BL142" s="11"/>
      <c r="BM142" s="110"/>
      <c r="BQ142" s="11"/>
    </row>
    <row r="143" spans="1:75" ht="13" hidden="1" customHeight="1">
      <c r="A143" s="424"/>
      <c r="C143" s="85"/>
      <c r="D143" s="85"/>
      <c r="E143" s="85"/>
      <c r="F143" s="85"/>
      <c r="G143" s="85"/>
      <c r="H143" s="85"/>
      <c r="I143" s="86"/>
      <c r="J143" s="619" t="s">
        <v>4</v>
      </c>
      <c r="K143" s="620"/>
      <c r="L143" s="620"/>
      <c r="M143" s="620"/>
      <c r="N143" s="620"/>
      <c r="O143" s="620"/>
      <c r="P143" s="620"/>
      <c r="Q143" s="620"/>
      <c r="R143" s="620"/>
      <c r="S143" s="620"/>
      <c r="T143" s="620"/>
      <c r="U143" s="620"/>
      <c r="V143" s="620"/>
      <c r="W143" s="621"/>
      <c r="X143" s="12"/>
      <c r="Y143" s="619" t="s">
        <v>5</v>
      </c>
      <c r="Z143" s="620"/>
      <c r="AA143" s="620"/>
      <c r="AB143" s="620"/>
      <c r="AC143" s="620"/>
      <c r="AD143" s="620"/>
      <c r="AE143" s="620"/>
      <c r="AF143" s="620"/>
      <c r="AG143" s="620"/>
      <c r="AH143" s="620"/>
      <c r="AI143" s="620"/>
      <c r="AJ143" s="620"/>
      <c r="AK143" s="620"/>
      <c r="AL143" s="620"/>
      <c r="AM143" s="620"/>
      <c r="AN143" s="620"/>
      <c r="AO143" s="620"/>
      <c r="AP143" s="620"/>
      <c r="AQ143" s="620"/>
      <c r="AR143" s="620"/>
      <c r="AS143" s="620"/>
      <c r="AT143" s="620"/>
      <c r="AU143" s="621"/>
      <c r="AV143" s="12"/>
      <c r="AW143" s="619" t="s">
        <v>229</v>
      </c>
      <c r="AX143" s="620"/>
      <c r="AY143" s="620"/>
      <c r="AZ143" s="620"/>
      <c r="BA143" s="620"/>
      <c r="BB143" s="620"/>
      <c r="BC143" s="620"/>
      <c r="BD143" s="620"/>
      <c r="BE143" s="620"/>
      <c r="BF143" s="620"/>
      <c r="BG143" s="620"/>
      <c r="BH143" s="620"/>
      <c r="BI143" s="620"/>
      <c r="BJ143" s="620"/>
      <c r="BK143" s="620"/>
      <c r="BL143" s="620"/>
      <c r="BM143" s="620"/>
      <c r="BN143" s="620"/>
      <c r="BO143" s="620"/>
      <c r="BP143" s="620"/>
      <c r="BQ143" s="620"/>
      <c r="BR143" s="620"/>
      <c r="BS143" s="620"/>
      <c r="BT143" s="620"/>
      <c r="BU143" s="620"/>
      <c r="BV143" s="620"/>
      <c r="BW143" s="621"/>
    </row>
    <row r="144" spans="1:75" hidden="1">
      <c r="A144" s="552"/>
      <c r="B144" s="13" t="s">
        <v>6</v>
      </c>
      <c r="C144" s="618" t="s">
        <v>7</v>
      </c>
      <c r="D144" s="618"/>
      <c r="E144" s="618"/>
      <c r="F144" s="618" t="s">
        <v>8</v>
      </c>
      <c r="G144" s="618"/>
      <c r="H144" s="618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</row>
    <row r="145" spans="1:75" ht="60" hidden="1">
      <c r="A145" s="424"/>
      <c r="B145" s="512"/>
      <c r="C145" s="16" t="s">
        <v>9</v>
      </c>
      <c r="D145" s="16" t="s">
        <v>10</v>
      </c>
      <c r="E145" s="16" t="s">
        <v>11</v>
      </c>
      <c r="F145" s="16" t="s">
        <v>9</v>
      </c>
      <c r="G145" s="16" t="s">
        <v>10</v>
      </c>
      <c r="H145" s="16" t="s">
        <v>11</v>
      </c>
      <c r="I145" s="17"/>
      <c r="K145" s="18" t="s">
        <v>12</v>
      </c>
      <c r="L145" s="18" t="s">
        <v>13</v>
      </c>
      <c r="M145" s="18" t="s">
        <v>14</v>
      </c>
      <c r="N145" s="19" t="s">
        <v>15</v>
      </c>
      <c r="O145" s="19" t="s">
        <v>16</v>
      </c>
      <c r="P145" s="19" t="s">
        <v>17</v>
      </c>
      <c r="Q145" s="495" t="s">
        <v>18</v>
      </c>
      <c r="R145" s="495" t="s">
        <v>19</v>
      </c>
      <c r="S145" s="496" t="s">
        <v>3</v>
      </c>
      <c r="T145" s="495" t="s">
        <v>20</v>
      </c>
      <c r="U145" s="495" t="s">
        <v>21</v>
      </c>
      <c r="V145" s="495" t="s">
        <v>22</v>
      </c>
      <c r="W145" s="495" t="s">
        <v>22</v>
      </c>
      <c r="X145" s="20"/>
      <c r="Y145" s="21"/>
      <c r="Z145" s="22" t="s">
        <v>23</v>
      </c>
      <c r="AA145" s="19" t="s">
        <v>24</v>
      </c>
      <c r="AB145" s="3" t="s">
        <v>25</v>
      </c>
      <c r="AC145" s="3" t="s">
        <v>26</v>
      </c>
      <c r="AD145" s="3" t="s">
        <v>27</v>
      </c>
      <c r="AE145" s="19" t="s">
        <v>28</v>
      </c>
      <c r="AF145" s="19" t="s">
        <v>29</v>
      </c>
      <c r="AG145" s="23" t="s">
        <v>30</v>
      </c>
      <c r="AH145" s="23" t="s">
        <v>31</v>
      </c>
      <c r="AI145" s="3" t="s">
        <v>32</v>
      </c>
      <c r="AJ145" s="19" t="s">
        <v>33</v>
      </c>
      <c r="AK145" s="19" t="s">
        <v>34</v>
      </c>
      <c r="AL145" s="19" t="s">
        <v>35</v>
      </c>
      <c r="AM145" s="3" t="s">
        <v>36</v>
      </c>
      <c r="AN145" s="496" t="s">
        <v>37</v>
      </c>
      <c r="AO145" s="19" t="s">
        <v>38</v>
      </c>
      <c r="AP145" s="19" t="s">
        <v>39</v>
      </c>
      <c r="AQ145" s="3" t="s">
        <v>3</v>
      </c>
      <c r="AR145" s="19" t="s">
        <v>40</v>
      </c>
      <c r="AS145" s="19" t="s">
        <v>41</v>
      </c>
      <c r="AT145" s="495" t="s">
        <v>22</v>
      </c>
      <c r="AU145" s="495" t="s">
        <v>22</v>
      </c>
      <c r="AV145" s="20"/>
      <c r="AX145" s="24" t="s">
        <v>42</v>
      </c>
      <c r="AY145" s="24" t="s">
        <v>25</v>
      </c>
      <c r="AZ145" s="25" t="s">
        <v>61</v>
      </c>
      <c r="BA145" s="26" t="s">
        <v>62</v>
      </c>
      <c r="BC145" s="3" t="s">
        <v>63</v>
      </c>
      <c r="BD145" s="3" t="s">
        <v>64</v>
      </c>
      <c r="BE145" s="3" t="s">
        <v>43</v>
      </c>
      <c r="BF145" s="3" t="s">
        <v>44</v>
      </c>
      <c r="BG145" s="3" t="s">
        <v>45</v>
      </c>
      <c r="BH145" s="3" t="s">
        <v>46</v>
      </c>
      <c r="BI145" s="3" t="s">
        <v>47</v>
      </c>
      <c r="BJ145" s="3" t="s">
        <v>65</v>
      </c>
      <c r="BK145" s="3" t="s">
        <v>48</v>
      </c>
      <c r="BL145" s="3" t="s">
        <v>49</v>
      </c>
      <c r="BM145" s="27" t="s">
        <v>66</v>
      </c>
      <c r="BN145" s="27" t="s">
        <v>67</v>
      </c>
      <c r="BO145" s="27" t="s">
        <v>68</v>
      </c>
      <c r="BP145" s="27" t="s">
        <v>69</v>
      </c>
      <c r="BQ145" s="27" t="s">
        <v>70</v>
      </c>
      <c r="BR145" s="28"/>
      <c r="BS145" s="19" t="s">
        <v>71</v>
      </c>
      <c r="BT145" s="19" t="s">
        <v>72</v>
      </c>
      <c r="BU145" s="495" t="s">
        <v>226</v>
      </c>
      <c r="BV145" s="495" t="s">
        <v>227</v>
      </c>
      <c r="BW145" s="495" t="s">
        <v>228</v>
      </c>
    </row>
    <row r="146" spans="1:75" hidden="1">
      <c r="A146" s="424"/>
      <c r="B146" s="29" t="s">
        <v>50</v>
      </c>
      <c r="C146" s="30"/>
      <c r="D146" s="31">
        <f>E146-C146</f>
        <v>0</v>
      </c>
      <c r="E146" s="32"/>
      <c r="F146" s="30"/>
      <c r="G146" s="31">
        <f>H146-F146</f>
        <v>0</v>
      </c>
      <c r="H146" s="32"/>
      <c r="I146" s="33"/>
      <c r="K146" s="34" t="e">
        <f>(C146/E146)/(F146/H146)</f>
        <v>#DIV/0!</v>
      </c>
      <c r="L146" s="35" t="e">
        <f>(D146/(C146*E146)+(G146/(F146*H146)))</f>
        <v>#DIV/0!</v>
      </c>
      <c r="M146" s="36" t="e">
        <f>1/L146</f>
        <v>#DIV/0!</v>
      </c>
      <c r="N146" s="37" t="e">
        <f>LN(K146)</f>
        <v>#DIV/0!</v>
      </c>
      <c r="O146" s="37" t="e">
        <f>M146*N146</f>
        <v>#DIV/0!</v>
      </c>
      <c r="P146" s="37" t="e">
        <f>LN(K146)</f>
        <v>#DIV/0!</v>
      </c>
      <c r="Q146" s="111" t="e">
        <f>K146</f>
        <v>#DIV/0!</v>
      </c>
      <c r="R146" s="39" t="e">
        <f t="shared" ref="R146:R151" si="371">SQRT(1/M146)</f>
        <v>#DIV/0!</v>
      </c>
      <c r="S146" s="40">
        <f t="shared" ref="S146:S151" si="372">$H$2</f>
        <v>1.9599639845400536</v>
      </c>
      <c r="T146" s="41" t="e">
        <f t="shared" ref="T146:T151" si="373">P146-(R146*S146)</f>
        <v>#DIV/0!</v>
      </c>
      <c r="U146" s="41" t="e">
        <f t="shared" ref="U146:U151" si="374">P146+(R146*S146)</f>
        <v>#DIV/0!</v>
      </c>
      <c r="V146" s="42" t="e">
        <f>EXP(T146)</f>
        <v>#DIV/0!</v>
      </c>
      <c r="W146" s="43" t="e">
        <f>EXP(U146)</f>
        <v>#DIV/0!</v>
      </c>
      <c r="X146" s="44"/>
      <c r="Z146" s="45" t="e">
        <f>(N146-P151)^2</f>
        <v>#DIV/0!</v>
      </c>
      <c r="AA146" s="46" t="e">
        <f>M146*Z146</f>
        <v>#DIV/0!</v>
      </c>
      <c r="AB146" s="2">
        <v>1</v>
      </c>
      <c r="AC146" s="28"/>
      <c r="AD146" s="28"/>
      <c r="AE146" s="36" t="e">
        <f>M146^2</f>
        <v>#DIV/0!</v>
      </c>
      <c r="AF146" s="47"/>
      <c r="AG146" s="48" t="e">
        <f>AG151</f>
        <v>#DIV/0!</v>
      </c>
      <c r="AH146" s="48" t="e">
        <f>AH151</f>
        <v>#DIV/0!</v>
      </c>
      <c r="AI146" s="46" t="e">
        <f>1/M146</f>
        <v>#DIV/0!</v>
      </c>
      <c r="AJ146" s="49" t="e">
        <f>1/(AH146+AI146)</f>
        <v>#DIV/0!</v>
      </c>
      <c r="AK146" s="50" t="e">
        <f>AJ146/AJ151</f>
        <v>#DIV/0!</v>
      </c>
      <c r="AL146" s="51" t="e">
        <f>AJ146*N146</f>
        <v>#DIV/0!</v>
      </c>
      <c r="AM146" s="51" t="e">
        <f t="shared" ref="AM146:AM151" si="375">AL146/AJ146</f>
        <v>#DIV/0!</v>
      </c>
      <c r="AN146" s="43" t="e">
        <f t="shared" ref="AN146:AN151" si="376">EXP(AM146)</f>
        <v>#DIV/0!</v>
      </c>
      <c r="AO146" s="52" t="e">
        <f t="shared" ref="AO146:AO151" si="377">1/AJ146</f>
        <v>#DIV/0!</v>
      </c>
      <c r="AP146" s="43" t="e">
        <f t="shared" ref="AP146:AP151" si="378">SQRT(AO146)</f>
        <v>#DIV/0!</v>
      </c>
      <c r="AQ146" s="40">
        <f t="shared" ref="AQ146:AQ151" si="379">$H$2</f>
        <v>1.9599639845400536</v>
      </c>
      <c r="AR146" s="41" t="e">
        <f t="shared" ref="AR146:AR151" si="380">AM146-(AQ146*AP146)</f>
        <v>#DIV/0!</v>
      </c>
      <c r="AS146" s="41" t="e">
        <f t="shared" ref="AS146:AS151" si="381">AM146+(1.96*AP146)</f>
        <v>#DIV/0!</v>
      </c>
      <c r="AT146" s="53" t="e">
        <f>EXP(AR146)</f>
        <v>#DIV/0!</v>
      </c>
      <c r="AU146" s="53" t="e">
        <f>EXP(AS146)</f>
        <v>#DIV/0!</v>
      </c>
      <c r="AV146" s="17"/>
      <c r="AX146" s="54"/>
      <c r="AY146" s="54">
        <v>1</v>
      </c>
      <c r="AZ146" s="55"/>
      <c r="BA146" s="55"/>
      <c r="BC146" s="28"/>
      <c r="BD146" s="28"/>
      <c r="BE146" s="2"/>
      <c r="BF146" s="2"/>
      <c r="BG146" s="2"/>
      <c r="BH146" s="2"/>
      <c r="BI146" s="2"/>
      <c r="BJ146" s="2"/>
      <c r="BK146" s="2"/>
      <c r="BL146" s="2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</row>
    <row r="147" spans="1:75" hidden="1">
      <c r="A147" s="424"/>
      <c r="B147" s="29" t="s">
        <v>51</v>
      </c>
      <c r="C147" s="30"/>
      <c r="D147" s="31">
        <f>E147-C147</f>
        <v>0</v>
      </c>
      <c r="E147" s="32"/>
      <c r="F147" s="30"/>
      <c r="G147" s="31">
        <f>H147-F147</f>
        <v>0</v>
      </c>
      <c r="H147" s="32"/>
      <c r="I147" s="33"/>
      <c r="K147" s="34" t="e">
        <f>(C147/E147)/(F147/H147)</f>
        <v>#DIV/0!</v>
      </c>
      <c r="L147" s="35" t="e">
        <f>(D147/(C147*E147)+(G147/(F147*H147)))</f>
        <v>#DIV/0!</v>
      </c>
      <c r="M147" s="36" t="e">
        <f>1/L147</f>
        <v>#DIV/0!</v>
      </c>
      <c r="N147" s="37" t="e">
        <f>LN(K147)</f>
        <v>#DIV/0!</v>
      </c>
      <c r="O147" s="37" t="e">
        <f>M147*N147</f>
        <v>#DIV/0!</v>
      </c>
      <c r="P147" s="37" t="e">
        <f>LN(K147)</f>
        <v>#DIV/0!</v>
      </c>
      <c r="Q147" s="111" t="e">
        <f>K147</f>
        <v>#DIV/0!</v>
      </c>
      <c r="R147" s="39" t="e">
        <f t="shared" si="371"/>
        <v>#DIV/0!</v>
      </c>
      <c r="S147" s="40">
        <f t="shared" si="372"/>
        <v>1.9599639845400536</v>
      </c>
      <c r="T147" s="41" t="e">
        <f t="shared" si="373"/>
        <v>#DIV/0!</v>
      </c>
      <c r="U147" s="41" t="e">
        <f t="shared" si="374"/>
        <v>#DIV/0!</v>
      </c>
      <c r="V147" s="42" t="e">
        <f t="shared" ref="V147:W150" si="382">EXP(T147)</f>
        <v>#DIV/0!</v>
      </c>
      <c r="W147" s="43" t="e">
        <f t="shared" si="382"/>
        <v>#DIV/0!</v>
      </c>
      <c r="X147" s="44"/>
      <c r="Z147" s="45" t="e">
        <f>(N147-P151)^2</f>
        <v>#DIV/0!</v>
      </c>
      <c r="AA147" s="46" t="e">
        <f>M147*Z147</f>
        <v>#DIV/0!</v>
      </c>
      <c r="AB147" s="2">
        <v>1</v>
      </c>
      <c r="AC147" s="28"/>
      <c r="AD147" s="28"/>
      <c r="AE147" s="36" t="e">
        <f>M147^2</f>
        <v>#DIV/0!</v>
      </c>
      <c r="AF147" s="47"/>
      <c r="AG147" s="48" t="e">
        <f>AG151</f>
        <v>#DIV/0!</v>
      </c>
      <c r="AH147" s="48" t="e">
        <f>AH151</f>
        <v>#DIV/0!</v>
      </c>
      <c r="AI147" s="46" t="e">
        <f>1/M147</f>
        <v>#DIV/0!</v>
      </c>
      <c r="AJ147" s="49" t="e">
        <f>1/(AH147+AI147)</f>
        <v>#DIV/0!</v>
      </c>
      <c r="AK147" s="50" t="e">
        <f>AJ147/AJ151</f>
        <v>#DIV/0!</v>
      </c>
      <c r="AL147" s="51" t="e">
        <f>AJ147*N147</f>
        <v>#DIV/0!</v>
      </c>
      <c r="AM147" s="51" t="e">
        <f t="shared" si="375"/>
        <v>#DIV/0!</v>
      </c>
      <c r="AN147" s="43" t="e">
        <f t="shared" si="376"/>
        <v>#DIV/0!</v>
      </c>
      <c r="AO147" s="52" t="e">
        <f t="shared" si="377"/>
        <v>#DIV/0!</v>
      </c>
      <c r="AP147" s="43" t="e">
        <f t="shared" si="378"/>
        <v>#DIV/0!</v>
      </c>
      <c r="AQ147" s="40">
        <f t="shared" si="379"/>
        <v>1.9599639845400536</v>
      </c>
      <c r="AR147" s="41" t="e">
        <f t="shared" si="380"/>
        <v>#DIV/0!</v>
      </c>
      <c r="AS147" s="41" t="e">
        <f t="shared" si="381"/>
        <v>#DIV/0!</v>
      </c>
      <c r="AT147" s="53" t="e">
        <f t="shared" ref="AT147:AU150" si="383">EXP(AR147)</f>
        <v>#DIV/0!</v>
      </c>
      <c r="AU147" s="53" t="e">
        <f t="shared" si="383"/>
        <v>#DIV/0!</v>
      </c>
      <c r="AV147" s="17"/>
      <c r="AX147" s="54"/>
      <c r="AY147" s="54">
        <v>1</v>
      </c>
      <c r="AZ147" s="55"/>
      <c r="BA147" s="55"/>
      <c r="BC147" s="28"/>
      <c r="BD147" s="28"/>
      <c r="BE147" s="2"/>
      <c r="BF147" s="2"/>
      <c r="BG147" s="2"/>
      <c r="BH147" s="2"/>
      <c r="BI147" s="2"/>
      <c r="BJ147" s="2"/>
      <c r="BK147" s="2"/>
      <c r="BL147" s="2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</row>
    <row r="148" spans="1:75" hidden="1">
      <c r="A148" s="424"/>
      <c r="B148" s="29" t="s">
        <v>52</v>
      </c>
      <c r="C148" s="30"/>
      <c r="D148" s="31">
        <f>E148-C148</f>
        <v>0</v>
      </c>
      <c r="E148" s="32"/>
      <c r="F148" s="30"/>
      <c r="G148" s="31">
        <f>H148-F148</f>
        <v>0</v>
      </c>
      <c r="H148" s="32"/>
      <c r="I148" s="33"/>
      <c r="K148" s="34" t="e">
        <f>(C148/E148)/(F148/H148)</f>
        <v>#DIV/0!</v>
      </c>
      <c r="L148" s="35" t="e">
        <f>(D148/(C148*E148)+(G148/(F148*H148)))</f>
        <v>#DIV/0!</v>
      </c>
      <c r="M148" s="36" t="e">
        <f>1/L148</f>
        <v>#DIV/0!</v>
      </c>
      <c r="N148" s="37" t="e">
        <f>LN(K148)</f>
        <v>#DIV/0!</v>
      </c>
      <c r="O148" s="37" t="e">
        <f>M148*N148</f>
        <v>#DIV/0!</v>
      </c>
      <c r="P148" s="37" t="e">
        <f>LN(K148)</f>
        <v>#DIV/0!</v>
      </c>
      <c r="Q148" s="111" t="e">
        <f>K148</f>
        <v>#DIV/0!</v>
      </c>
      <c r="R148" s="39" t="e">
        <f t="shared" si="371"/>
        <v>#DIV/0!</v>
      </c>
      <c r="S148" s="40">
        <f t="shared" si="372"/>
        <v>1.9599639845400536</v>
      </c>
      <c r="T148" s="41" t="e">
        <f t="shared" si="373"/>
        <v>#DIV/0!</v>
      </c>
      <c r="U148" s="41" t="e">
        <f t="shared" si="374"/>
        <v>#DIV/0!</v>
      </c>
      <c r="V148" s="42" t="e">
        <f t="shared" si="382"/>
        <v>#DIV/0!</v>
      </c>
      <c r="W148" s="43" t="e">
        <f t="shared" si="382"/>
        <v>#DIV/0!</v>
      </c>
      <c r="X148" s="44"/>
      <c r="Z148" s="45" t="e">
        <f>(N148-P151)^2</f>
        <v>#DIV/0!</v>
      </c>
      <c r="AA148" s="46" t="e">
        <f>M148*Z148</f>
        <v>#DIV/0!</v>
      </c>
      <c r="AB148" s="2">
        <v>1</v>
      </c>
      <c r="AC148" s="28"/>
      <c r="AD148" s="28"/>
      <c r="AE148" s="36" t="e">
        <f>M148^2</f>
        <v>#DIV/0!</v>
      </c>
      <c r="AF148" s="47"/>
      <c r="AG148" s="48" t="e">
        <f>AG151</f>
        <v>#DIV/0!</v>
      </c>
      <c r="AH148" s="48" t="e">
        <f>AH151</f>
        <v>#DIV/0!</v>
      </c>
      <c r="AI148" s="46" t="e">
        <f>1/M148</f>
        <v>#DIV/0!</v>
      </c>
      <c r="AJ148" s="49" t="e">
        <f>1/(AH148+AI148)</f>
        <v>#DIV/0!</v>
      </c>
      <c r="AK148" s="50" t="e">
        <f>AJ148/AJ151</f>
        <v>#DIV/0!</v>
      </c>
      <c r="AL148" s="51" t="e">
        <f>AJ148*N148</f>
        <v>#DIV/0!</v>
      </c>
      <c r="AM148" s="51" t="e">
        <f t="shared" si="375"/>
        <v>#DIV/0!</v>
      </c>
      <c r="AN148" s="43" t="e">
        <f t="shared" si="376"/>
        <v>#DIV/0!</v>
      </c>
      <c r="AO148" s="52" t="e">
        <f t="shared" si="377"/>
        <v>#DIV/0!</v>
      </c>
      <c r="AP148" s="43" t="e">
        <f t="shared" si="378"/>
        <v>#DIV/0!</v>
      </c>
      <c r="AQ148" s="40">
        <f t="shared" si="379"/>
        <v>1.9599639845400536</v>
      </c>
      <c r="AR148" s="41" t="e">
        <f t="shared" si="380"/>
        <v>#DIV/0!</v>
      </c>
      <c r="AS148" s="41" t="e">
        <f t="shared" si="381"/>
        <v>#DIV/0!</v>
      </c>
      <c r="AT148" s="53" t="e">
        <f t="shared" si="383"/>
        <v>#DIV/0!</v>
      </c>
      <c r="AU148" s="53" t="e">
        <f t="shared" si="383"/>
        <v>#DIV/0!</v>
      </c>
      <c r="AV148" s="17"/>
      <c r="AX148" s="54"/>
      <c r="AY148" s="54">
        <v>1</v>
      </c>
      <c r="AZ148" s="55"/>
      <c r="BA148" s="55"/>
      <c r="BC148" s="28"/>
      <c r="BD148" s="28"/>
      <c r="BE148" s="2"/>
      <c r="BF148" s="2"/>
      <c r="BG148" s="2"/>
      <c r="BH148" s="2"/>
      <c r="BI148" s="2"/>
      <c r="BJ148" s="2"/>
      <c r="BK148" s="2"/>
      <c r="BL148" s="2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</row>
    <row r="149" spans="1:75" hidden="1">
      <c r="A149" s="424"/>
      <c r="B149" s="29" t="s">
        <v>53</v>
      </c>
      <c r="C149" s="30"/>
      <c r="D149" s="31">
        <f>E149-C149</f>
        <v>0</v>
      </c>
      <c r="E149" s="32"/>
      <c r="F149" s="30"/>
      <c r="G149" s="31">
        <f>H149-F149</f>
        <v>0</v>
      </c>
      <c r="H149" s="32"/>
      <c r="I149" s="33"/>
      <c r="K149" s="34" t="e">
        <f>(C149/E149)/(F149/H149)</f>
        <v>#DIV/0!</v>
      </c>
      <c r="L149" s="35" t="e">
        <f>(D149/(C149*E149)+(G149/(F149*H149)))</f>
        <v>#DIV/0!</v>
      </c>
      <c r="M149" s="36" t="e">
        <f>1/L149</f>
        <v>#DIV/0!</v>
      </c>
      <c r="N149" s="37" t="e">
        <f>LN(K149)</f>
        <v>#DIV/0!</v>
      </c>
      <c r="O149" s="37" t="e">
        <f>M149*N149</f>
        <v>#DIV/0!</v>
      </c>
      <c r="P149" s="37" t="e">
        <f>LN(K149)</f>
        <v>#DIV/0!</v>
      </c>
      <c r="Q149" s="111" t="e">
        <f>K149</f>
        <v>#DIV/0!</v>
      </c>
      <c r="R149" s="39" t="e">
        <f t="shared" si="371"/>
        <v>#DIV/0!</v>
      </c>
      <c r="S149" s="40">
        <f t="shared" si="372"/>
        <v>1.9599639845400536</v>
      </c>
      <c r="T149" s="41" t="e">
        <f t="shared" si="373"/>
        <v>#DIV/0!</v>
      </c>
      <c r="U149" s="41" t="e">
        <f t="shared" si="374"/>
        <v>#DIV/0!</v>
      </c>
      <c r="V149" s="42" t="e">
        <f t="shared" si="382"/>
        <v>#DIV/0!</v>
      </c>
      <c r="W149" s="43" t="e">
        <f t="shared" si="382"/>
        <v>#DIV/0!</v>
      </c>
      <c r="X149" s="44"/>
      <c r="Z149" s="45" t="e">
        <f>(N149-P151)^2</f>
        <v>#DIV/0!</v>
      </c>
      <c r="AA149" s="46" t="e">
        <f>M149*Z149</f>
        <v>#DIV/0!</v>
      </c>
      <c r="AB149" s="2">
        <v>1</v>
      </c>
      <c r="AC149" s="28"/>
      <c r="AD149" s="28"/>
      <c r="AE149" s="36" t="e">
        <f>M149^2</f>
        <v>#DIV/0!</v>
      </c>
      <c r="AF149" s="47"/>
      <c r="AG149" s="48" t="e">
        <f>AG151</f>
        <v>#DIV/0!</v>
      </c>
      <c r="AH149" s="48" t="e">
        <f>AH151</f>
        <v>#DIV/0!</v>
      </c>
      <c r="AI149" s="46" t="e">
        <f>1/M149</f>
        <v>#DIV/0!</v>
      </c>
      <c r="AJ149" s="49" t="e">
        <f>1/(AH149+AI149)</f>
        <v>#DIV/0!</v>
      </c>
      <c r="AK149" s="50" t="e">
        <f>AJ149/AJ151</f>
        <v>#DIV/0!</v>
      </c>
      <c r="AL149" s="51" t="e">
        <f>AJ149*N149</f>
        <v>#DIV/0!</v>
      </c>
      <c r="AM149" s="51" t="e">
        <f t="shared" si="375"/>
        <v>#DIV/0!</v>
      </c>
      <c r="AN149" s="43" t="e">
        <f t="shared" si="376"/>
        <v>#DIV/0!</v>
      </c>
      <c r="AO149" s="52" t="e">
        <f t="shared" si="377"/>
        <v>#DIV/0!</v>
      </c>
      <c r="AP149" s="43" t="e">
        <f t="shared" si="378"/>
        <v>#DIV/0!</v>
      </c>
      <c r="AQ149" s="40">
        <f t="shared" si="379"/>
        <v>1.9599639845400536</v>
      </c>
      <c r="AR149" s="41" t="e">
        <f t="shared" si="380"/>
        <v>#DIV/0!</v>
      </c>
      <c r="AS149" s="41" t="e">
        <f t="shared" si="381"/>
        <v>#DIV/0!</v>
      </c>
      <c r="AT149" s="53" t="e">
        <f t="shared" si="383"/>
        <v>#DIV/0!</v>
      </c>
      <c r="AU149" s="53" t="e">
        <f t="shared" si="383"/>
        <v>#DIV/0!</v>
      </c>
      <c r="AV149" s="17"/>
      <c r="AX149" s="54"/>
      <c r="AY149" s="54">
        <v>1</v>
      </c>
      <c r="AZ149" s="55"/>
      <c r="BA149" s="55"/>
      <c r="BC149" s="28"/>
      <c r="BD149" s="28"/>
      <c r="BE149" s="2"/>
      <c r="BF149" s="2"/>
      <c r="BG149" s="2"/>
      <c r="BH149" s="2"/>
      <c r="BI149" s="2"/>
      <c r="BJ149" s="2"/>
      <c r="BK149" s="2"/>
      <c r="BL149" s="2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</row>
    <row r="150" spans="1:75" hidden="1">
      <c r="A150" s="424"/>
      <c r="B150" s="29" t="s">
        <v>54</v>
      </c>
      <c r="C150" s="30"/>
      <c r="D150" s="31">
        <f>E150-C150</f>
        <v>0</v>
      </c>
      <c r="E150" s="32"/>
      <c r="F150" s="30"/>
      <c r="G150" s="31">
        <f>H150-F150</f>
        <v>0</v>
      </c>
      <c r="H150" s="32"/>
      <c r="I150" s="33"/>
      <c r="K150" s="34" t="e">
        <f>(C150/E150)/(F150/H150)</f>
        <v>#DIV/0!</v>
      </c>
      <c r="L150" s="35" t="e">
        <f>(D150/(C150*E150)+(G150/(F150*H150)))</f>
        <v>#DIV/0!</v>
      </c>
      <c r="M150" s="36" t="e">
        <f>1/L150</f>
        <v>#DIV/0!</v>
      </c>
      <c r="N150" s="37" t="e">
        <f>LN(K150)</f>
        <v>#DIV/0!</v>
      </c>
      <c r="O150" s="37" t="e">
        <f>M150*N150</f>
        <v>#DIV/0!</v>
      </c>
      <c r="P150" s="37" t="e">
        <f>LN(K150)</f>
        <v>#DIV/0!</v>
      </c>
      <c r="Q150" s="111" t="e">
        <f>K150</f>
        <v>#DIV/0!</v>
      </c>
      <c r="R150" s="39" t="e">
        <f t="shared" si="371"/>
        <v>#DIV/0!</v>
      </c>
      <c r="S150" s="40">
        <f t="shared" si="372"/>
        <v>1.9599639845400536</v>
      </c>
      <c r="T150" s="41" t="e">
        <f t="shared" si="373"/>
        <v>#DIV/0!</v>
      </c>
      <c r="U150" s="41" t="e">
        <f t="shared" si="374"/>
        <v>#DIV/0!</v>
      </c>
      <c r="V150" s="42" t="e">
        <f t="shared" si="382"/>
        <v>#DIV/0!</v>
      </c>
      <c r="W150" s="43" t="e">
        <f t="shared" si="382"/>
        <v>#DIV/0!</v>
      </c>
      <c r="X150" s="44"/>
      <c r="Z150" s="45" t="e">
        <f>(N150-P151)^2</f>
        <v>#DIV/0!</v>
      </c>
      <c r="AA150" s="46" t="e">
        <f>M150*Z150</f>
        <v>#DIV/0!</v>
      </c>
      <c r="AB150" s="2">
        <v>1</v>
      </c>
      <c r="AC150" s="28"/>
      <c r="AD150" s="28"/>
      <c r="AE150" s="36" t="e">
        <f>M150^2</f>
        <v>#DIV/0!</v>
      </c>
      <c r="AF150" s="47"/>
      <c r="AG150" s="48" t="e">
        <f>AG151</f>
        <v>#DIV/0!</v>
      </c>
      <c r="AH150" s="48" t="e">
        <f>AH151</f>
        <v>#DIV/0!</v>
      </c>
      <c r="AI150" s="46" t="e">
        <f>1/M150</f>
        <v>#DIV/0!</v>
      </c>
      <c r="AJ150" s="49" t="e">
        <f>1/(AH150+AI150)</f>
        <v>#DIV/0!</v>
      </c>
      <c r="AK150" s="50" t="e">
        <f>AJ150/AJ151</f>
        <v>#DIV/0!</v>
      </c>
      <c r="AL150" s="51" t="e">
        <f>AJ150*N150</f>
        <v>#DIV/0!</v>
      </c>
      <c r="AM150" s="51" t="e">
        <f t="shared" si="375"/>
        <v>#DIV/0!</v>
      </c>
      <c r="AN150" s="43" t="e">
        <f t="shared" si="376"/>
        <v>#DIV/0!</v>
      </c>
      <c r="AO150" s="52" t="e">
        <f t="shared" si="377"/>
        <v>#DIV/0!</v>
      </c>
      <c r="AP150" s="43" t="e">
        <f t="shared" si="378"/>
        <v>#DIV/0!</v>
      </c>
      <c r="AQ150" s="40">
        <f t="shared" si="379"/>
        <v>1.9599639845400536</v>
      </c>
      <c r="AR150" s="41" t="e">
        <f t="shared" si="380"/>
        <v>#DIV/0!</v>
      </c>
      <c r="AS150" s="41" t="e">
        <f t="shared" si="381"/>
        <v>#DIV/0!</v>
      </c>
      <c r="AT150" s="53" t="e">
        <f t="shared" si="383"/>
        <v>#DIV/0!</v>
      </c>
      <c r="AU150" s="53" t="e">
        <f t="shared" si="383"/>
        <v>#DIV/0!</v>
      </c>
      <c r="AV150" s="17"/>
      <c r="AX150" s="54"/>
      <c r="AY150" s="54">
        <v>1</v>
      </c>
      <c r="AZ150" s="55"/>
      <c r="BA150" s="55"/>
      <c r="BC150" s="28"/>
      <c r="BD150" s="28"/>
      <c r="BE150" s="2"/>
      <c r="BF150" s="2"/>
      <c r="BG150" s="2"/>
      <c r="BH150" s="2"/>
      <c r="BI150" s="2"/>
      <c r="BJ150" s="2"/>
      <c r="BK150" s="2"/>
      <c r="BL150" s="2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</row>
    <row r="151" spans="1:75" hidden="1">
      <c r="A151" s="424"/>
      <c r="B151" s="56">
        <f>COUNT(D146:D150)</f>
        <v>5</v>
      </c>
      <c r="C151" s="57">
        <f t="shared" ref="C151:H151" si="384">SUM(C146:C150)</f>
        <v>0</v>
      </c>
      <c r="D151" s="57">
        <f t="shared" si="384"/>
        <v>0</v>
      </c>
      <c r="E151" s="57">
        <f t="shared" si="384"/>
        <v>0</v>
      </c>
      <c r="F151" s="57">
        <f t="shared" si="384"/>
        <v>0</v>
      </c>
      <c r="G151" s="57">
        <f t="shared" si="384"/>
        <v>0</v>
      </c>
      <c r="H151" s="57">
        <f t="shared" si="384"/>
        <v>0</v>
      </c>
      <c r="I151" s="58"/>
      <c r="K151" s="59"/>
      <c r="L151" s="113"/>
      <c r="M151" s="61" t="e">
        <f>SUM(M146:M150)</f>
        <v>#DIV/0!</v>
      </c>
      <c r="N151" s="62"/>
      <c r="O151" s="63" t="e">
        <f>SUM(O146:O150)</f>
        <v>#DIV/0!</v>
      </c>
      <c r="P151" s="64" t="e">
        <f>O151/M151</f>
        <v>#DIV/0!</v>
      </c>
      <c r="Q151" s="497" t="e">
        <f>EXP(P151)</f>
        <v>#DIV/0!</v>
      </c>
      <c r="R151" s="497" t="e">
        <f t="shared" si="371"/>
        <v>#DIV/0!</v>
      </c>
      <c r="S151" s="498">
        <f t="shared" si="372"/>
        <v>1.9599639845400536</v>
      </c>
      <c r="T151" s="499" t="e">
        <f t="shared" si="373"/>
        <v>#DIV/0!</v>
      </c>
      <c r="U151" s="499" t="e">
        <f t="shared" si="374"/>
        <v>#DIV/0!</v>
      </c>
      <c r="V151" s="500" t="e">
        <f>EXP(T151)</f>
        <v>#DIV/0!</v>
      </c>
      <c r="W151" s="501" t="e">
        <f>EXP(U151)</f>
        <v>#DIV/0!</v>
      </c>
      <c r="X151" s="66"/>
      <c r="Y151" s="66"/>
      <c r="Z151" s="67"/>
      <c r="AA151" s="68" t="e">
        <f>SUM(AA146:AA150)</f>
        <v>#DIV/0!</v>
      </c>
      <c r="AB151" s="69">
        <f>SUM(AB146:AB150)</f>
        <v>5</v>
      </c>
      <c r="AC151" s="70" t="e">
        <f>AA151-(AB151-1)</f>
        <v>#DIV/0!</v>
      </c>
      <c r="AD151" s="61" t="e">
        <f>M151</f>
        <v>#DIV/0!</v>
      </c>
      <c r="AE151" s="61" t="e">
        <f>SUM(AE146:AE150)</f>
        <v>#DIV/0!</v>
      </c>
      <c r="AF151" s="71" t="e">
        <f>AE151/AD151</f>
        <v>#DIV/0!</v>
      </c>
      <c r="AG151" s="72" t="e">
        <f>AC151/(AD151-AF151)</f>
        <v>#DIV/0!</v>
      </c>
      <c r="AH151" s="72" t="e">
        <f>IF(AA151&lt;AB151-1,"0",AG151)</f>
        <v>#DIV/0!</v>
      </c>
      <c r="AI151" s="67"/>
      <c r="AJ151" s="61" t="e">
        <f>SUM(AJ146:AJ150)</f>
        <v>#DIV/0!</v>
      </c>
      <c r="AK151" s="73" t="e">
        <f>SUM(AK146:AK150)</f>
        <v>#DIV/0!</v>
      </c>
      <c r="AL151" s="70" t="e">
        <f>SUM(AL146:AL150)</f>
        <v>#DIV/0!</v>
      </c>
      <c r="AM151" s="70" t="e">
        <f t="shared" si="375"/>
        <v>#DIV/0!</v>
      </c>
      <c r="AN151" s="502" t="e">
        <f t="shared" si="376"/>
        <v>#DIV/0!</v>
      </c>
      <c r="AO151" s="74" t="e">
        <f t="shared" si="377"/>
        <v>#DIV/0!</v>
      </c>
      <c r="AP151" s="75" t="e">
        <f t="shared" si="378"/>
        <v>#DIV/0!</v>
      </c>
      <c r="AQ151" s="40">
        <f t="shared" si="379"/>
        <v>1.9599639845400536</v>
      </c>
      <c r="AR151" s="65" t="e">
        <f t="shared" si="380"/>
        <v>#DIV/0!</v>
      </c>
      <c r="AS151" s="65" t="e">
        <f t="shared" si="381"/>
        <v>#DIV/0!</v>
      </c>
      <c r="AT151" s="503" t="e">
        <f>EXP(AR151)</f>
        <v>#DIV/0!</v>
      </c>
      <c r="AU151" s="503" t="e">
        <f>EXP(AS151)</f>
        <v>#DIV/0!</v>
      </c>
      <c r="AV151" s="76"/>
      <c r="AW151" s="77"/>
      <c r="AX151" s="78" t="e">
        <f>AA151</f>
        <v>#DIV/0!</v>
      </c>
      <c r="AY151" s="56">
        <f>SUM(AY146:AY150)</f>
        <v>5</v>
      </c>
      <c r="AZ151" s="79" t="e">
        <f>(AX151-(AY151-1))/AX151</f>
        <v>#DIV/0!</v>
      </c>
      <c r="BA151" s="80" t="e">
        <f>IF(AA151&lt;AB151-1,"0%",AZ151)</f>
        <v>#DIV/0!</v>
      </c>
      <c r="BB151" s="77"/>
      <c r="BC151" s="63" t="e">
        <f>AX151/(AY151-1)</f>
        <v>#DIV/0!</v>
      </c>
      <c r="BD151" s="81" t="e">
        <f>LN(BC151)</f>
        <v>#DIV/0!</v>
      </c>
      <c r="BE151" s="63" t="e">
        <f>LN(AX151)</f>
        <v>#DIV/0!</v>
      </c>
      <c r="BF151" s="63">
        <f>LN(AY151-1)</f>
        <v>1.3862943611198906</v>
      </c>
      <c r="BG151" s="63" t="e">
        <f>SQRT(2*AX151)</f>
        <v>#DIV/0!</v>
      </c>
      <c r="BH151" s="63">
        <f>SQRT(2*AY151-3)</f>
        <v>2.6457513110645907</v>
      </c>
      <c r="BI151" s="63">
        <f>2*(AY151-2)</f>
        <v>6</v>
      </c>
      <c r="BJ151" s="63">
        <f>3*(AY151-2)^2</f>
        <v>27</v>
      </c>
      <c r="BK151" s="63">
        <f>1/BI151</f>
        <v>0.16666666666666666</v>
      </c>
      <c r="BL151" s="82">
        <f>1/BJ151</f>
        <v>3.7037037037037035E-2</v>
      </c>
      <c r="BM151" s="82">
        <f>SQRT(BK151*(1-BL151))</f>
        <v>0.40061680838488767</v>
      </c>
      <c r="BN151" s="83" t="e">
        <f>0.5*(BE151-BF151)/(BG151-BH151)</f>
        <v>#DIV/0!</v>
      </c>
      <c r="BO151" s="83" t="e">
        <f>IF(AA151&lt;=AB151,BM151,BN151)</f>
        <v>#DIV/0!</v>
      </c>
      <c r="BP151" s="70" t="e">
        <f>BD151-(1.96*BO151)</f>
        <v>#DIV/0!</v>
      </c>
      <c r="BQ151" s="70" t="e">
        <f>BD151+(1.96*BO151)</f>
        <v>#DIV/0!</v>
      </c>
      <c r="BR151" s="70"/>
      <c r="BS151" s="81" t="e">
        <f>EXP(BP151)</f>
        <v>#DIV/0!</v>
      </c>
      <c r="BT151" s="81" t="e">
        <f>EXP(BQ151)</f>
        <v>#DIV/0!</v>
      </c>
      <c r="BU151" s="84" t="e">
        <f>BA151</f>
        <v>#DIV/0!</v>
      </c>
      <c r="BV151" s="84" t="e">
        <f>(BS151-1)/BS151</f>
        <v>#DIV/0!</v>
      </c>
      <c r="BW151" s="84" t="e">
        <f>(BT151-1)/BT151</f>
        <v>#DIV/0!</v>
      </c>
    </row>
    <row r="152" spans="1:75" ht="13.5" hidden="1" thickBot="1">
      <c r="A152" s="424"/>
      <c r="C152" s="85"/>
      <c r="D152" s="85"/>
      <c r="E152" s="85"/>
      <c r="F152" s="85"/>
      <c r="G152" s="85"/>
      <c r="H152" s="85"/>
      <c r="I152" s="86"/>
      <c r="R152" s="87"/>
      <c r="S152" s="87"/>
      <c r="T152" s="87"/>
      <c r="U152" s="87"/>
      <c r="V152" s="87"/>
      <c r="W152" s="87"/>
      <c r="X152" s="87"/>
      <c r="AB152" s="88"/>
      <c r="AC152" s="89"/>
      <c r="AD152" s="90"/>
      <c r="AE152" s="89"/>
      <c r="AF152" s="91"/>
      <c r="AG152" s="91"/>
      <c r="AH152" s="91"/>
      <c r="AI152" s="91"/>
      <c r="AT152" s="92"/>
      <c r="AU152" s="92"/>
      <c r="AV152" s="92"/>
      <c r="AX152" s="5" t="s">
        <v>56</v>
      </c>
      <c r="BG152" s="11"/>
      <c r="BN152" s="89" t="s">
        <v>57</v>
      </c>
      <c r="BT152" s="93" t="s">
        <v>58</v>
      </c>
      <c r="BU152" s="504" t="e">
        <f>BU151</f>
        <v>#DIV/0!</v>
      </c>
      <c r="BV152" s="504" t="e">
        <f>IF(BV151&lt;0,"0%",BV151)</f>
        <v>#DIV/0!</v>
      </c>
      <c r="BW152" s="505" t="e">
        <f>IF(BW151&lt;0,"0%",BW151)</f>
        <v>#DIV/0!</v>
      </c>
    </row>
    <row r="153" spans="1:75" ht="26.5" hidden="1" thickBot="1">
      <c r="A153" s="424"/>
      <c r="B153" s="5"/>
      <c r="C153" s="94"/>
      <c r="D153" s="94"/>
      <c r="E153" s="94"/>
      <c r="F153" s="94"/>
      <c r="G153" s="94"/>
      <c r="H153" s="94"/>
      <c r="I153" s="95"/>
      <c r="J153" s="5"/>
      <c r="K153" s="5"/>
      <c r="R153" s="96"/>
      <c r="S153" s="96"/>
      <c r="T153" s="96"/>
      <c r="U153" s="96"/>
      <c r="V153" s="96"/>
      <c r="W153" s="96"/>
      <c r="X153" s="96"/>
      <c r="AF153" s="1"/>
      <c r="AI153" s="11"/>
      <c r="AJ153" s="97"/>
      <c r="AK153" s="97"/>
      <c r="AL153" s="98"/>
      <c r="AM153" s="99"/>
      <c r="AO153" s="100" t="s">
        <v>59</v>
      </c>
      <c r="AP153" s="101">
        <f>TINV((1-$H$1),(AB151-2))</f>
        <v>3.1824463052837078</v>
      </c>
      <c r="AR153" s="506" t="s">
        <v>60</v>
      </c>
      <c r="AS153" s="102">
        <f>$H$1</f>
        <v>0.95</v>
      </c>
      <c r="AT153" s="507" t="e">
        <f>EXP(AM151-AP153*SQRT((1/AD151)+AH151))</f>
        <v>#DIV/0!</v>
      </c>
      <c r="AU153" s="507" t="e">
        <f>EXP(AM151+AP153*SQRT((1/AD151)+AH151))</f>
        <v>#DIV/0!</v>
      </c>
      <c r="AV153" s="17"/>
      <c r="AX153" s="103" t="e">
        <f>_xlfn.CHISQ.DIST.RT(AX151,AY151-1)</f>
        <v>#DIV/0!</v>
      </c>
      <c r="AY153" s="104" t="e">
        <f>IF(AX153&lt;0.05,"heterogeneidad","homogeneidad")</f>
        <v>#DIV/0!</v>
      </c>
      <c r="BF153" s="105"/>
      <c r="BG153" s="11"/>
      <c r="BH153" s="11"/>
      <c r="BJ153" s="44"/>
      <c r="BL153" s="11"/>
      <c r="BM153" s="106"/>
      <c r="BQ153" s="11"/>
    </row>
    <row r="154" spans="1:75" ht="14.5" hidden="1">
      <c r="A154" s="424"/>
      <c r="B154" s="5"/>
      <c r="C154" s="94"/>
      <c r="D154" s="94"/>
      <c r="E154" s="94"/>
      <c r="F154" s="94"/>
      <c r="G154" s="94"/>
      <c r="H154" s="94"/>
      <c r="I154" s="95"/>
      <c r="J154" s="5"/>
      <c r="K154" s="5"/>
      <c r="R154" s="96"/>
      <c r="S154" s="96"/>
      <c r="T154" s="96"/>
      <c r="U154" s="96"/>
      <c r="V154" s="96"/>
      <c r="W154" s="96"/>
      <c r="X154" s="96"/>
      <c r="AF154" s="1"/>
      <c r="AI154" s="11"/>
      <c r="AJ154" s="97"/>
      <c r="AK154" s="97"/>
      <c r="AL154" s="98"/>
      <c r="AM154" s="99"/>
      <c r="AN154" s="107"/>
      <c r="AO154" s="108"/>
      <c r="AP154" s="14"/>
      <c r="AS154" s="109"/>
      <c r="AT154" s="17"/>
      <c r="AU154" s="17"/>
      <c r="AV154" s="17"/>
      <c r="BF154" s="105"/>
      <c r="BG154" s="11"/>
      <c r="BH154" s="11"/>
      <c r="BJ154" s="44"/>
      <c r="BL154" s="11"/>
      <c r="BM154" s="110"/>
      <c r="BQ154" s="11"/>
    </row>
    <row r="155" spans="1:75" ht="13" hidden="1" customHeight="1">
      <c r="A155" s="424"/>
      <c r="C155" s="85"/>
      <c r="D155" s="85"/>
      <c r="E155" s="85"/>
      <c r="F155" s="85"/>
      <c r="G155" s="85"/>
      <c r="H155" s="85"/>
      <c r="I155" s="86"/>
      <c r="J155" s="619" t="s">
        <v>4</v>
      </c>
      <c r="K155" s="620"/>
      <c r="L155" s="620"/>
      <c r="M155" s="620"/>
      <c r="N155" s="620"/>
      <c r="O155" s="620"/>
      <c r="P155" s="620"/>
      <c r="Q155" s="620"/>
      <c r="R155" s="620"/>
      <c r="S155" s="620"/>
      <c r="T155" s="620"/>
      <c r="U155" s="620"/>
      <c r="V155" s="620"/>
      <c r="W155" s="621"/>
      <c r="X155" s="12"/>
      <c r="Y155" s="619" t="s">
        <v>5</v>
      </c>
      <c r="Z155" s="620"/>
      <c r="AA155" s="620"/>
      <c r="AB155" s="620"/>
      <c r="AC155" s="620"/>
      <c r="AD155" s="620"/>
      <c r="AE155" s="620"/>
      <c r="AF155" s="620"/>
      <c r="AG155" s="620"/>
      <c r="AH155" s="620"/>
      <c r="AI155" s="620"/>
      <c r="AJ155" s="620"/>
      <c r="AK155" s="620"/>
      <c r="AL155" s="620"/>
      <c r="AM155" s="620"/>
      <c r="AN155" s="620"/>
      <c r="AO155" s="620"/>
      <c r="AP155" s="620"/>
      <c r="AQ155" s="620"/>
      <c r="AR155" s="620"/>
      <c r="AS155" s="620"/>
      <c r="AT155" s="620"/>
      <c r="AU155" s="621"/>
      <c r="AV155" s="12"/>
      <c r="AW155" s="619" t="s">
        <v>229</v>
      </c>
      <c r="AX155" s="620"/>
      <c r="AY155" s="620"/>
      <c r="AZ155" s="620"/>
      <c r="BA155" s="620"/>
      <c r="BB155" s="620"/>
      <c r="BC155" s="620"/>
      <c r="BD155" s="620"/>
      <c r="BE155" s="620"/>
      <c r="BF155" s="620"/>
      <c r="BG155" s="620"/>
      <c r="BH155" s="620"/>
      <c r="BI155" s="620"/>
      <c r="BJ155" s="620"/>
      <c r="BK155" s="620"/>
      <c r="BL155" s="620"/>
      <c r="BM155" s="620"/>
      <c r="BN155" s="620"/>
      <c r="BO155" s="620"/>
      <c r="BP155" s="620"/>
      <c r="BQ155" s="620"/>
      <c r="BR155" s="620"/>
      <c r="BS155" s="620"/>
      <c r="BT155" s="620"/>
      <c r="BU155" s="620"/>
      <c r="BV155" s="620"/>
      <c r="BW155" s="621"/>
    </row>
    <row r="156" spans="1:75" hidden="1">
      <c r="A156" s="552"/>
      <c r="B156" s="13" t="s">
        <v>6</v>
      </c>
      <c r="C156" s="618" t="s">
        <v>7</v>
      </c>
      <c r="D156" s="618"/>
      <c r="E156" s="618"/>
      <c r="F156" s="618" t="s">
        <v>8</v>
      </c>
      <c r="G156" s="618"/>
      <c r="H156" s="618"/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</row>
    <row r="157" spans="1:75" ht="60" hidden="1">
      <c r="A157" s="424"/>
      <c r="B157" s="512"/>
      <c r="C157" s="16" t="s">
        <v>9</v>
      </c>
      <c r="D157" s="16" t="s">
        <v>10</v>
      </c>
      <c r="E157" s="16" t="s">
        <v>11</v>
      </c>
      <c r="F157" s="16" t="s">
        <v>9</v>
      </c>
      <c r="G157" s="16" t="s">
        <v>10</v>
      </c>
      <c r="H157" s="16" t="s">
        <v>11</v>
      </c>
      <c r="I157" s="17"/>
      <c r="K157" s="18" t="s">
        <v>12</v>
      </c>
      <c r="L157" s="18" t="s">
        <v>13</v>
      </c>
      <c r="M157" s="18" t="s">
        <v>14</v>
      </c>
      <c r="N157" s="19" t="s">
        <v>15</v>
      </c>
      <c r="O157" s="19" t="s">
        <v>16</v>
      </c>
      <c r="P157" s="19" t="s">
        <v>17</v>
      </c>
      <c r="Q157" s="495" t="s">
        <v>18</v>
      </c>
      <c r="R157" s="495" t="s">
        <v>19</v>
      </c>
      <c r="S157" s="496" t="s">
        <v>3</v>
      </c>
      <c r="T157" s="495" t="s">
        <v>20</v>
      </c>
      <c r="U157" s="495" t="s">
        <v>21</v>
      </c>
      <c r="V157" s="495" t="s">
        <v>22</v>
      </c>
      <c r="W157" s="495" t="s">
        <v>22</v>
      </c>
      <c r="X157" s="20"/>
      <c r="Y157" s="21"/>
      <c r="Z157" s="22" t="s">
        <v>23</v>
      </c>
      <c r="AA157" s="19" t="s">
        <v>24</v>
      </c>
      <c r="AB157" s="3" t="s">
        <v>25</v>
      </c>
      <c r="AC157" s="3" t="s">
        <v>26</v>
      </c>
      <c r="AD157" s="3" t="s">
        <v>27</v>
      </c>
      <c r="AE157" s="19" t="s">
        <v>28</v>
      </c>
      <c r="AF157" s="19" t="s">
        <v>29</v>
      </c>
      <c r="AG157" s="23" t="s">
        <v>30</v>
      </c>
      <c r="AH157" s="23" t="s">
        <v>31</v>
      </c>
      <c r="AI157" s="3" t="s">
        <v>32</v>
      </c>
      <c r="AJ157" s="19" t="s">
        <v>33</v>
      </c>
      <c r="AK157" s="19" t="s">
        <v>34</v>
      </c>
      <c r="AL157" s="19" t="s">
        <v>35</v>
      </c>
      <c r="AM157" s="3" t="s">
        <v>36</v>
      </c>
      <c r="AN157" s="496" t="s">
        <v>37</v>
      </c>
      <c r="AO157" s="19" t="s">
        <v>38</v>
      </c>
      <c r="AP157" s="19" t="s">
        <v>39</v>
      </c>
      <c r="AQ157" s="3" t="s">
        <v>3</v>
      </c>
      <c r="AR157" s="19" t="s">
        <v>40</v>
      </c>
      <c r="AS157" s="19" t="s">
        <v>41</v>
      </c>
      <c r="AT157" s="495" t="s">
        <v>22</v>
      </c>
      <c r="AU157" s="495" t="s">
        <v>22</v>
      </c>
      <c r="AV157" s="20"/>
      <c r="AX157" s="24" t="s">
        <v>42</v>
      </c>
      <c r="AY157" s="24" t="s">
        <v>25</v>
      </c>
      <c r="AZ157" s="25" t="s">
        <v>61</v>
      </c>
      <c r="BA157" s="26" t="s">
        <v>62</v>
      </c>
      <c r="BC157" s="3" t="s">
        <v>63</v>
      </c>
      <c r="BD157" s="3" t="s">
        <v>64</v>
      </c>
      <c r="BE157" s="3" t="s">
        <v>43</v>
      </c>
      <c r="BF157" s="3" t="s">
        <v>44</v>
      </c>
      <c r="BG157" s="3" t="s">
        <v>45</v>
      </c>
      <c r="BH157" s="3" t="s">
        <v>46</v>
      </c>
      <c r="BI157" s="3" t="s">
        <v>47</v>
      </c>
      <c r="BJ157" s="3" t="s">
        <v>65</v>
      </c>
      <c r="BK157" s="3" t="s">
        <v>48</v>
      </c>
      <c r="BL157" s="3" t="s">
        <v>49</v>
      </c>
      <c r="BM157" s="27" t="s">
        <v>66</v>
      </c>
      <c r="BN157" s="27" t="s">
        <v>67</v>
      </c>
      <c r="BO157" s="27" t="s">
        <v>68</v>
      </c>
      <c r="BP157" s="27" t="s">
        <v>69</v>
      </c>
      <c r="BQ157" s="27" t="s">
        <v>70</v>
      </c>
      <c r="BR157" s="28"/>
      <c r="BS157" s="19" t="s">
        <v>71</v>
      </c>
      <c r="BT157" s="19" t="s">
        <v>72</v>
      </c>
      <c r="BU157" s="495" t="s">
        <v>226</v>
      </c>
      <c r="BV157" s="495" t="s">
        <v>227</v>
      </c>
      <c r="BW157" s="495" t="s">
        <v>228</v>
      </c>
    </row>
    <row r="158" spans="1:75" hidden="1">
      <c r="A158" s="424"/>
      <c r="B158" s="29" t="s">
        <v>50</v>
      </c>
      <c r="C158" s="30"/>
      <c r="D158" s="31">
        <f>E158-C158</f>
        <v>0</v>
      </c>
      <c r="E158" s="32"/>
      <c r="F158" s="30"/>
      <c r="G158" s="31">
        <f>H158-F158</f>
        <v>0</v>
      </c>
      <c r="H158" s="32"/>
      <c r="I158" s="33"/>
      <c r="K158" s="34" t="e">
        <f>(C158/E158)/(F158/H158)</f>
        <v>#DIV/0!</v>
      </c>
      <c r="L158" s="35" t="e">
        <f>(D158/(C158*E158)+(G158/(F158*H158)))</f>
        <v>#DIV/0!</v>
      </c>
      <c r="M158" s="36" t="e">
        <f>1/L158</f>
        <v>#DIV/0!</v>
      </c>
      <c r="N158" s="37" t="e">
        <f>LN(K158)</f>
        <v>#DIV/0!</v>
      </c>
      <c r="O158" s="37" t="e">
        <f>M158*N158</f>
        <v>#DIV/0!</v>
      </c>
      <c r="P158" s="37" t="e">
        <f>LN(K158)</f>
        <v>#DIV/0!</v>
      </c>
      <c r="Q158" s="39" t="e">
        <f>EXP(P158)</f>
        <v>#DIV/0!</v>
      </c>
      <c r="R158" s="39" t="e">
        <f>SQRT(1/M158)</f>
        <v>#DIV/0!</v>
      </c>
      <c r="S158" s="40">
        <f>$H$2</f>
        <v>1.9599639845400536</v>
      </c>
      <c r="T158" s="41" t="e">
        <f>P158-(R158*S158)</f>
        <v>#DIV/0!</v>
      </c>
      <c r="U158" s="41" t="e">
        <f>P158+(R158*S158)</f>
        <v>#DIV/0!</v>
      </c>
      <c r="V158" s="42" t="e">
        <f>EXP(T158)</f>
        <v>#DIV/0!</v>
      </c>
      <c r="W158" s="43" t="e">
        <f>EXP(U158)</f>
        <v>#DIV/0!</v>
      </c>
      <c r="X158" s="44"/>
      <c r="Z158" s="45" t="e">
        <f>(N158-P162)^2</f>
        <v>#DIV/0!</v>
      </c>
      <c r="AA158" s="46" t="e">
        <f>M158*Z158</f>
        <v>#DIV/0!</v>
      </c>
      <c r="AB158" s="2">
        <v>1</v>
      </c>
      <c r="AC158" s="28"/>
      <c r="AD158" s="28"/>
      <c r="AE158" s="36" t="e">
        <f>M158^2</f>
        <v>#DIV/0!</v>
      </c>
      <c r="AF158" s="47"/>
      <c r="AG158" s="48" t="e">
        <f>AG162</f>
        <v>#DIV/0!</v>
      </c>
      <c r="AH158" s="48" t="e">
        <f>AH162</f>
        <v>#DIV/0!</v>
      </c>
      <c r="AI158" s="46" t="e">
        <f>1/M158</f>
        <v>#DIV/0!</v>
      </c>
      <c r="AJ158" s="49" t="e">
        <f>1/(AH158+AI158)</f>
        <v>#DIV/0!</v>
      </c>
      <c r="AK158" s="50" t="e">
        <f>AJ158/AJ162</f>
        <v>#DIV/0!</v>
      </c>
      <c r="AL158" s="51" t="e">
        <f>AJ158*N158</f>
        <v>#DIV/0!</v>
      </c>
      <c r="AM158" s="51" t="e">
        <f>AL158/AJ158</f>
        <v>#DIV/0!</v>
      </c>
      <c r="AN158" s="43" t="e">
        <f>EXP(AM158)</f>
        <v>#DIV/0!</v>
      </c>
      <c r="AO158" s="52" t="e">
        <f>1/AJ158</f>
        <v>#DIV/0!</v>
      </c>
      <c r="AP158" s="43" t="e">
        <f>SQRT(AO158)</f>
        <v>#DIV/0!</v>
      </c>
      <c r="AQ158" s="40">
        <f>$H$2</f>
        <v>1.9599639845400536</v>
      </c>
      <c r="AR158" s="41" t="e">
        <f>AM158-(AQ158*AP158)</f>
        <v>#DIV/0!</v>
      </c>
      <c r="AS158" s="41" t="e">
        <f>AM158+(1.96*AP158)</f>
        <v>#DIV/0!</v>
      </c>
      <c r="AT158" s="53" t="e">
        <f>EXP(AR158)</f>
        <v>#DIV/0!</v>
      </c>
      <c r="AU158" s="53" t="e">
        <f>EXP(AS158)</f>
        <v>#DIV/0!</v>
      </c>
      <c r="AV158" s="17"/>
      <c r="AX158" s="54"/>
      <c r="AY158" s="54">
        <v>1</v>
      </c>
      <c r="AZ158" s="55"/>
      <c r="BA158" s="55"/>
      <c r="BC158" s="28"/>
      <c r="BD158" s="28"/>
      <c r="BE158" s="2"/>
      <c r="BF158" s="2"/>
      <c r="BG158" s="2"/>
      <c r="BH158" s="2"/>
      <c r="BI158" s="2"/>
      <c r="BJ158" s="2"/>
      <c r="BK158" s="2"/>
      <c r="BL158" s="2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</row>
    <row r="159" spans="1:75" hidden="1">
      <c r="A159" s="424"/>
      <c r="B159" s="29" t="s">
        <v>51</v>
      </c>
      <c r="C159" s="30"/>
      <c r="D159" s="31">
        <f>E159-C159</f>
        <v>0</v>
      </c>
      <c r="E159" s="32"/>
      <c r="F159" s="30"/>
      <c r="G159" s="31">
        <f>H159-F159</f>
        <v>0</v>
      </c>
      <c r="H159" s="32"/>
      <c r="I159" s="33"/>
      <c r="K159" s="34" t="e">
        <f>(C159/E159)/(F159/H159)</f>
        <v>#DIV/0!</v>
      </c>
      <c r="L159" s="35" t="e">
        <f>(D159/(C159*E159)+(G159/(F159*H159)))</f>
        <v>#DIV/0!</v>
      </c>
      <c r="M159" s="36" t="e">
        <f>1/L159</f>
        <v>#DIV/0!</v>
      </c>
      <c r="N159" s="37" t="e">
        <f>LN(K159)</f>
        <v>#DIV/0!</v>
      </c>
      <c r="O159" s="37" t="e">
        <f>M159*N159</f>
        <v>#DIV/0!</v>
      </c>
      <c r="P159" s="37" t="e">
        <f>LN(K159)</f>
        <v>#DIV/0!</v>
      </c>
      <c r="Q159" s="39" t="e">
        <f>EXP(P159)</f>
        <v>#DIV/0!</v>
      </c>
      <c r="R159" s="39" t="e">
        <f>SQRT(1/M159)</f>
        <v>#DIV/0!</v>
      </c>
      <c r="S159" s="40">
        <f>$H$2</f>
        <v>1.9599639845400536</v>
      </c>
      <c r="T159" s="41" t="e">
        <f>P159-(R159*S159)</f>
        <v>#DIV/0!</v>
      </c>
      <c r="U159" s="41" t="e">
        <f>P159+(R159*S159)</f>
        <v>#DIV/0!</v>
      </c>
      <c r="V159" s="42" t="e">
        <f t="shared" ref="V159:W161" si="385">EXP(T159)</f>
        <v>#DIV/0!</v>
      </c>
      <c r="W159" s="43" t="e">
        <f t="shared" si="385"/>
        <v>#DIV/0!</v>
      </c>
      <c r="X159" s="44"/>
      <c r="Z159" s="45" t="e">
        <f>(N159-P162)^2</f>
        <v>#DIV/0!</v>
      </c>
      <c r="AA159" s="46" t="e">
        <f>M159*Z159</f>
        <v>#DIV/0!</v>
      </c>
      <c r="AB159" s="2">
        <v>1</v>
      </c>
      <c r="AC159" s="28"/>
      <c r="AD159" s="28"/>
      <c r="AE159" s="36" t="e">
        <f>M159^2</f>
        <v>#DIV/0!</v>
      </c>
      <c r="AF159" s="47"/>
      <c r="AG159" s="48" t="e">
        <f>AG162</f>
        <v>#DIV/0!</v>
      </c>
      <c r="AH159" s="48" t="e">
        <f>AH162</f>
        <v>#DIV/0!</v>
      </c>
      <c r="AI159" s="46" t="e">
        <f>1/M159</f>
        <v>#DIV/0!</v>
      </c>
      <c r="AJ159" s="49" t="e">
        <f>1/(AH159+AI159)</f>
        <v>#DIV/0!</v>
      </c>
      <c r="AK159" s="50" t="e">
        <f>AJ159/AJ162</f>
        <v>#DIV/0!</v>
      </c>
      <c r="AL159" s="51" t="e">
        <f>AJ159*N159</f>
        <v>#DIV/0!</v>
      </c>
      <c r="AM159" s="51" t="e">
        <f>AL159/AJ159</f>
        <v>#DIV/0!</v>
      </c>
      <c r="AN159" s="43" t="e">
        <f>EXP(AM159)</f>
        <v>#DIV/0!</v>
      </c>
      <c r="AO159" s="52" t="e">
        <f>1/AJ159</f>
        <v>#DIV/0!</v>
      </c>
      <c r="AP159" s="43" t="e">
        <f>SQRT(AO159)</f>
        <v>#DIV/0!</v>
      </c>
      <c r="AQ159" s="40">
        <f>$H$2</f>
        <v>1.9599639845400536</v>
      </c>
      <c r="AR159" s="41" t="e">
        <f>AM159-(AQ159*AP159)</f>
        <v>#DIV/0!</v>
      </c>
      <c r="AS159" s="41" t="e">
        <f>AM159+(1.96*AP159)</f>
        <v>#DIV/0!</v>
      </c>
      <c r="AT159" s="53" t="e">
        <f t="shared" ref="AT159:AU161" si="386">EXP(AR159)</f>
        <v>#DIV/0!</v>
      </c>
      <c r="AU159" s="53" t="e">
        <f t="shared" si="386"/>
        <v>#DIV/0!</v>
      </c>
      <c r="AV159" s="17"/>
      <c r="AX159" s="54"/>
      <c r="AY159" s="54">
        <v>1</v>
      </c>
      <c r="AZ159" s="55"/>
      <c r="BA159" s="55"/>
      <c r="BC159" s="28"/>
      <c r="BD159" s="28"/>
      <c r="BE159" s="2"/>
      <c r="BF159" s="2"/>
      <c r="BG159" s="2"/>
      <c r="BH159" s="2"/>
      <c r="BI159" s="2"/>
      <c r="BJ159" s="2"/>
      <c r="BK159" s="2"/>
      <c r="BL159" s="2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</row>
    <row r="160" spans="1:75" hidden="1">
      <c r="A160" s="424"/>
      <c r="B160" s="29" t="s">
        <v>52</v>
      </c>
      <c r="C160" s="30"/>
      <c r="D160" s="31">
        <f>E160-C160</f>
        <v>0</v>
      </c>
      <c r="E160" s="32"/>
      <c r="F160" s="30"/>
      <c r="G160" s="31">
        <f>H160-F160</f>
        <v>0</v>
      </c>
      <c r="H160" s="32"/>
      <c r="I160" s="33"/>
      <c r="K160" s="34" t="e">
        <f>(C160/E160)/(F160/H160)</f>
        <v>#DIV/0!</v>
      </c>
      <c r="L160" s="35" t="e">
        <f>(D160/(C160*E160)+(G160/(F160*H160)))</f>
        <v>#DIV/0!</v>
      </c>
      <c r="M160" s="36" t="e">
        <f>1/L160</f>
        <v>#DIV/0!</v>
      </c>
      <c r="N160" s="37" t="e">
        <f>LN(K160)</f>
        <v>#DIV/0!</v>
      </c>
      <c r="O160" s="37" t="e">
        <f>M160*N160</f>
        <v>#DIV/0!</v>
      </c>
      <c r="P160" s="37" t="e">
        <f>LN(K160)</f>
        <v>#DIV/0!</v>
      </c>
      <c r="Q160" s="39" t="e">
        <f>EXP(P160)</f>
        <v>#DIV/0!</v>
      </c>
      <c r="R160" s="39" t="e">
        <f>SQRT(1/M160)</f>
        <v>#DIV/0!</v>
      </c>
      <c r="S160" s="40">
        <f>$H$2</f>
        <v>1.9599639845400536</v>
      </c>
      <c r="T160" s="41" t="e">
        <f>P160-(R160*S160)</f>
        <v>#DIV/0!</v>
      </c>
      <c r="U160" s="41" t="e">
        <f>P160+(R160*S160)</f>
        <v>#DIV/0!</v>
      </c>
      <c r="V160" s="42" t="e">
        <f t="shared" si="385"/>
        <v>#DIV/0!</v>
      </c>
      <c r="W160" s="43" t="e">
        <f t="shared" si="385"/>
        <v>#DIV/0!</v>
      </c>
      <c r="X160" s="44"/>
      <c r="Z160" s="45" t="e">
        <f>(N160-P162)^2</f>
        <v>#DIV/0!</v>
      </c>
      <c r="AA160" s="46" t="e">
        <f>M160*Z160</f>
        <v>#DIV/0!</v>
      </c>
      <c r="AB160" s="2">
        <v>1</v>
      </c>
      <c r="AC160" s="28"/>
      <c r="AD160" s="28"/>
      <c r="AE160" s="36" t="e">
        <f>M160^2</f>
        <v>#DIV/0!</v>
      </c>
      <c r="AF160" s="47"/>
      <c r="AG160" s="48" t="e">
        <f>AG162</f>
        <v>#DIV/0!</v>
      </c>
      <c r="AH160" s="48" t="e">
        <f>AH162</f>
        <v>#DIV/0!</v>
      </c>
      <c r="AI160" s="46" t="e">
        <f>1/M160</f>
        <v>#DIV/0!</v>
      </c>
      <c r="AJ160" s="49" t="e">
        <f>1/(AH160+AI160)</f>
        <v>#DIV/0!</v>
      </c>
      <c r="AK160" s="50" t="e">
        <f>AJ160/AJ162</f>
        <v>#DIV/0!</v>
      </c>
      <c r="AL160" s="51" t="e">
        <f>AJ160*N160</f>
        <v>#DIV/0!</v>
      </c>
      <c r="AM160" s="51" t="e">
        <f>AL160/AJ160</f>
        <v>#DIV/0!</v>
      </c>
      <c r="AN160" s="43" t="e">
        <f>EXP(AM160)</f>
        <v>#DIV/0!</v>
      </c>
      <c r="AO160" s="52" t="e">
        <f>1/AJ160</f>
        <v>#DIV/0!</v>
      </c>
      <c r="AP160" s="43" t="e">
        <f>SQRT(AO160)</f>
        <v>#DIV/0!</v>
      </c>
      <c r="AQ160" s="40">
        <f>$H$2</f>
        <v>1.9599639845400536</v>
      </c>
      <c r="AR160" s="41" t="e">
        <f>AM160-(AQ160*AP160)</f>
        <v>#DIV/0!</v>
      </c>
      <c r="AS160" s="41" t="e">
        <f>AM160+(1.96*AP160)</f>
        <v>#DIV/0!</v>
      </c>
      <c r="AT160" s="53" t="e">
        <f t="shared" si="386"/>
        <v>#DIV/0!</v>
      </c>
      <c r="AU160" s="53" t="e">
        <f t="shared" si="386"/>
        <v>#DIV/0!</v>
      </c>
      <c r="AV160" s="17"/>
      <c r="AX160" s="54"/>
      <c r="AY160" s="54">
        <v>1</v>
      </c>
      <c r="AZ160" s="55"/>
      <c r="BA160" s="55"/>
      <c r="BC160" s="28"/>
      <c r="BD160" s="28"/>
      <c r="BE160" s="2"/>
      <c r="BF160" s="2"/>
      <c r="BG160" s="2"/>
      <c r="BH160" s="2"/>
      <c r="BI160" s="2"/>
      <c r="BJ160" s="2"/>
      <c r="BK160" s="2"/>
      <c r="BL160" s="2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</row>
    <row r="161" spans="1:256" hidden="1">
      <c r="A161" s="424"/>
      <c r="B161" s="29" t="s">
        <v>53</v>
      </c>
      <c r="C161" s="30"/>
      <c r="D161" s="31">
        <f>E161-C161</f>
        <v>0</v>
      </c>
      <c r="E161" s="32"/>
      <c r="F161" s="30"/>
      <c r="G161" s="31">
        <f>H161-F161</f>
        <v>0</v>
      </c>
      <c r="H161" s="32"/>
      <c r="I161" s="33"/>
      <c r="K161" s="34" t="e">
        <f>(C161/E161)/(F161/H161)</f>
        <v>#DIV/0!</v>
      </c>
      <c r="L161" s="35" t="e">
        <f>(D161/(C161*E161)+(G161/(F161*H161)))</f>
        <v>#DIV/0!</v>
      </c>
      <c r="M161" s="36" t="e">
        <f>1/L161</f>
        <v>#DIV/0!</v>
      </c>
      <c r="N161" s="37" t="e">
        <f>LN(K161)</f>
        <v>#DIV/0!</v>
      </c>
      <c r="O161" s="37" t="e">
        <f>M161*N161</f>
        <v>#DIV/0!</v>
      </c>
      <c r="P161" s="37" t="e">
        <f>LN(K161)</f>
        <v>#DIV/0!</v>
      </c>
      <c r="Q161" s="39" t="e">
        <f>EXP(P161)</f>
        <v>#DIV/0!</v>
      </c>
      <c r="R161" s="39" t="e">
        <f>SQRT(1/M161)</f>
        <v>#DIV/0!</v>
      </c>
      <c r="S161" s="40">
        <f>$H$2</f>
        <v>1.9599639845400536</v>
      </c>
      <c r="T161" s="41" t="e">
        <f>P161-(R161*S161)</f>
        <v>#DIV/0!</v>
      </c>
      <c r="U161" s="41" t="e">
        <f>P161+(R161*S161)</f>
        <v>#DIV/0!</v>
      </c>
      <c r="V161" s="42" t="e">
        <f t="shared" si="385"/>
        <v>#DIV/0!</v>
      </c>
      <c r="W161" s="43" t="e">
        <f t="shared" si="385"/>
        <v>#DIV/0!</v>
      </c>
      <c r="X161" s="44"/>
      <c r="Z161" s="45" t="e">
        <f>(N161-P162)^2</f>
        <v>#DIV/0!</v>
      </c>
      <c r="AA161" s="46" t="e">
        <f>M161*Z161</f>
        <v>#DIV/0!</v>
      </c>
      <c r="AB161" s="2">
        <v>1</v>
      </c>
      <c r="AC161" s="28"/>
      <c r="AD161" s="28"/>
      <c r="AE161" s="36" t="e">
        <f>M161^2</f>
        <v>#DIV/0!</v>
      </c>
      <c r="AF161" s="47"/>
      <c r="AG161" s="48" t="e">
        <f>AG162</f>
        <v>#DIV/0!</v>
      </c>
      <c r="AH161" s="48" t="e">
        <f>AH162</f>
        <v>#DIV/0!</v>
      </c>
      <c r="AI161" s="46" t="e">
        <f>1/M161</f>
        <v>#DIV/0!</v>
      </c>
      <c r="AJ161" s="49" t="e">
        <f>1/(AH161+AI161)</f>
        <v>#DIV/0!</v>
      </c>
      <c r="AK161" s="50" t="e">
        <f>AJ161/AJ162</f>
        <v>#DIV/0!</v>
      </c>
      <c r="AL161" s="51" t="e">
        <f>AJ161*N161</f>
        <v>#DIV/0!</v>
      </c>
      <c r="AM161" s="51" t="e">
        <f>AL161/AJ161</f>
        <v>#DIV/0!</v>
      </c>
      <c r="AN161" s="43" t="e">
        <f>EXP(AM161)</f>
        <v>#DIV/0!</v>
      </c>
      <c r="AO161" s="52" t="e">
        <f>1/AJ161</f>
        <v>#DIV/0!</v>
      </c>
      <c r="AP161" s="43" t="e">
        <f>SQRT(AO161)</f>
        <v>#DIV/0!</v>
      </c>
      <c r="AQ161" s="40">
        <f>$H$2</f>
        <v>1.9599639845400536</v>
      </c>
      <c r="AR161" s="41" t="e">
        <f>AM161-(AQ161*AP161)</f>
        <v>#DIV/0!</v>
      </c>
      <c r="AS161" s="41" t="e">
        <f>AM161+(1.96*AP161)</f>
        <v>#DIV/0!</v>
      </c>
      <c r="AT161" s="53" t="e">
        <f t="shared" si="386"/>
        <v>#DIV/0!</v>
      </c>
      <c r="AU161" s="53" t="e">
        <f t="shared" si="386"/>
        <v>#DIV/0!</v>
      </c>
      <c r="AV161" s="17"/>
      <c r="AX161" s="54"/>
      <c r="AY161" s="54">
        <v>1</v>
      </c>
      <c r="AZ161" s="55"/>
      <c r="BA161" s="55"/>
      <c r="BC161" s="28"/>
      <c r="BD161" s="28"/>
      <c r="BE161" s="2"/>
      <c r="BF161" s="2"/>
      <c r="BG161" s="2"/>
      <c r="BH161" s="2"/>
      <c r="BI161" s="2"/>
      <c r="BJ161" s="2"/>
      <c r="BK161" s="2"/>
      <c r="BL161" s="2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</row>
    <row r="162" spans="1:256" hidden="1">
      <c r="A162" s="424"/>
      <c r="B162" s="56">
        <f>COUNT(D158:D161)</f>
        <v>4</v>
      </c>
      <c r="C162" s="57">
        <f t="shared" ref="C162:H162" si="387">SUM(C158:C161)</f>
        <v>0</v>
      </c>
      <c r="D162" s="57">
        <f t="shared" si="387"/>
        <v>0</v>
      </c>
      <c r="E162" s="57">
        <f t="shared" si="387"/>
        <v>0</v>
      </c>
      <c r="F162" s="57">
        <f t="shared" si="387"/>
        <v>0</v>
      </c>
      <c r="G162" s="57">
        <f t="shared" si="387"/>
        <v>0</v>
      </c>
      <c r="H162" s="57">
        <f t="shared" si="387"/>
        <v>0</v>
      </c>
      <c r="I162" s="58"/>
      <c r="K162" s="59"/>
      <c r="L162" s="113"/>
      <c r="M162" s="61" t="e">
        <f>SUM(M158:M161)</f>
        <v>#DIV/0!</v>
      </c>
      <c r="N162" s="62"/>
      <c r="O162" s="63" t="e">
        <f>SUM(O158:O161)</f>
        <v>#DIV/0!</v>
      </c>
      <c r="P162" s="64" t="e">
        <f>O162/M162</f>
        <v>#DIV/0!</v>
      </c>
      <c r="Q162" s="497" t="e">
        <f>EXP(P162)</f>
        <v>#DIV/0!</v>
      </c>
      <c r="R162" s="497" t="e">
        <f>SQRT(1/M162)</f>
        <v>#DIV/0!</v>
      </c>
      <c r="S162" s="498">
        <f>$H$2</f>
        <v>1.9599639845400536</v>
      </c>
      <c r="T162" s="499" t="e">
        <f>P162-(R162*S162)</f>
        <v>#DIV/0!</v>
      </c>
      <c r="U162" s="499" t="e">
        <f>P162+(R162*S162)</f>
        <v>#DIV/0!</v>
      </c>
      <c r="V162" s="500" t="e">
        <f>EXP(T162)</f>
        <v>#DIV/0!</v>
      </c>
      <c r="W162" s="501" t="e">
        <f>EXP(U162)</f>
        <v>#DIV/0!</v>
      </c>
      <c r="X162" s="66"/>
      <c r="Y162" s="66"/>
      <c r="Z162" s="67"/>
      <c r="AA162" s="68" t="e">
        <f>SUM(AA158:AA161)</f>
        <v>#DIV/0!</v>
      </c>
      <c r="AB162" s="69">
        <f>SUM(AB158:AB161)</f>
        <v>4</v>
      </c>
      <c r="AC162" s="70" t="e">
        <f>AA162-(AB162-1)</f>
        <v>#DIV/0!</v>
      </c>
      <c r="AD162" s="61" t="e">
        <f>M162</f>
        <v>#DIV/0!</v>
      </c>
      <c r="AE162" s="61" t="e">
        <f>SUM(AE158:AE161)</f>
        <v>#DIV/0!</v>
      </c>
      <c r="AF162" s="71" t="e">
        <f>AE162/AD162</f>
        <v>#DIV/0!</v>
      </c>
      <c r="AG162" s="72" t="e">
        <f>AC162/(AD162-AF162)</f>
        <v>#DIV/0!</v>
      </c>
      <c r="AH162" s="72" t="e">
        <f>IF(AA162&lt;AB162-1,"0",AG162)</f>
        <v>#DIV/0!</v>
      </c>
      <c r="AI162" s="67"/>
      <c r="AJ162" s="61" t="e">
        <f>SUM(AJ158:AJ161)</f>
        <v>#DIV/0!</v>
      </c>
      <c r="AK162" s="73" t="e">
        <f>SUM(AK158:AK161)</f>
        <v>#DIV/0!</v>
      </c>
      <c r="AL162" s="70" t="e">
        <f>SUM(AL158:AL161)</f>
        <v>#DIV/0!</v>
      </c>
      <c r="AM162" s="70" t="e">
        <f>AL162/AJ162</f>
        <v>#DIV/0!</v>
      </c>
      <c r="AN162" s="502" t="e">
        <f>EXP(AM162)</f>
        <v>#DIV/0!</v>
      </c>
      <c r="AO162" s="74" t="e">
        <f>1/AJ162</f>
        <v>#DIV/0!</v>
      </c>
      <c r="AP162" s="75" t="e">
        <f>SQRT(AO162)</f>
        <v>#DIV/0!</v>
      </c>
      <c r="AQ162" s="40">
        <f>$H$2</f>
        <v>1.9599639845400536</v>
      </c>
      <c r="AR162" s="65" t="e">
        <f>AM162-(AQ162*AP162)</f>
        <v>#DIV/0!</v>
      </c>
      <c r="AS162" s="65" t="e">
        <f>AM162+(1.96*AP162)</f>
        <v>#DIV/0!</v>
      </c>
      <c r="AT162" s="503" t="e">
        <f>EXP(AR162)</f>
        <v>#DIV/0!</v>
      </c>
      <c r="AU162" s="503" t="e">
        <f>EXP(AS162)</f>
        <v>#DIV/0!</v>
      </c>
      <c r="AV162" s="76"/>
      <c r="AW162" s="77"/>
      <c r="AX162" s="78" t="e">
        <f>AA162</f>
        <v>#DIV/0!</v>
      </c>
      <c r="AY162" s="56">
        <f>SUM(AY158:AY161)</f>
        <v>4</v>
      </c>
      <c r="AZ162" s="79" t="e">
        <f>(AX162-(AY162-1))/AX162</f>
        <v>#DIV/0!</v>
      </c>
      <c r="BA162" s="80" t="e">
        <f>IF(AA162&lt;AB162-1,"0%",AZ162)</f>
        <v>#DIV/0!</v>
      </c>
      <c r="BB162" s="77"/>
      <c r="BC162" s="63" t="e">
        <f>AX162/(AY162-1)</f>
        <v>#DIV/0!</v>
      </c>
      <c r="BD162" s="81" t="e">
        <f>LN(BC162)</f>
        <v>#DIV/0!</v>
      </c>
      <c r="BE162" s="63" t="e">
        <f>LN(AX162)</f>
        <v>#DIV/0!</v>
      </c>
      <c r="BF162" s="63">
        <f>LN(AY162-1)</f>
        <v>1.0986122886681098</v>
      </c>
      <c r="BG162" s="63" t="e">
        <f>SQRT(2*AX162)</f>
        <v>#DIV/0!</v>
      </c>
      <c r="BH162" s="63">
        <f>SQRT(2*AY162-3)</f>
        <v>2.2360679774997898</v>
      </c>
      <c r="BI162" s="63">
        <f>2*(AY162-2)</f>
        <v>4</v>
      </c>
      <c r="BJ162" s="63">
        <f>3*(AY162-2)^2</f>
        <v>12</v>
      </c>
      <c r="BK162" s="63">
        <f>1/BI162</f>
        <v>0.25</v>
      </c>
      <c r="BL162" s="82">
        <f>1/BJ162</f>
        <v>8.3333333333333329E-2</v>
      </c>
      <c r="BM162" s="82">
        <f>SQRT(BK162*(1-BL162))</f>
        <v>0.47871355387816905</v>
      </c>
      <c r="BN162" s="83" t="e">
        <f>0.5*(BE162-BF162)/(BG162-BH162)</f>
        <v>#DIV/0!</v>
      </c>
      <c r="BO162" s="83" t="e">
        <f>IF(AA162&lt;=AB162,BM162,BN162)</f>
        <v>#DIV/0!</v>
      </c>
      <c r="BP162" s="70" t="e">
        <f>BD162-(1.96*BO162)</f>
        <v>#DIV/0!</v>
      </c>
      <c r="BQ162" s="70" t="e">
        <f>BD162+(1.96*BO162)</f>
        <v>#DIV/0!</v>
      </c>
      <c r="BR162" s="70"/>
      <c r="BS162" s="81" t="e">
        <f>EXP(BP162)</f>
        <v>#DIV/0!</v>
      </c>
      <c r="BT162" s="81" t="e">
        <f>EXP(BQ162)</f>
        <v>#DIV/0!</v>
      </c>
      <c r="BU162" s="84" t="e">
        <f>BA162</f>
        <v>#DIV/0!</v>
      </c>
      <c r="BV162" s="84" t="e">
        <f>(BS162-1)/BS162</f>
        <v>#DIV/0!</v>
      </c>
      <c r="BW162" s="84" t="e">
        <f>(BT162-1)/BT162</f>
        <v>#DIV/0!</v>
      </c>
    </row>
    <row r="163" spans="1:256" ht="13.5" hidden="1" thickBot="1">
      <c r="A163" s="424"/>
      <c r="C163" s="85"/>
      <c r="D163" s="85"/>
      <c r="E163" s="85"/>
      <c r="F163" s="85"/>
      <c r="G163" s="85"/>
      <c r="H163" s="85"/>
      <c r="I163" s="86"/>
      <c r="R163" s="87"/>
      <c r="S163" s="87"/>
      <c r="T163" s="87"/>
      <c r="U163" s="87"/>
      <c r="V163" s="87"/>
      <c r="W163" s="87"/>
      <c r="X163" s="87"/>
      <c r="AB163" s="88"/>
      <c r="AC163" s="89"/>
      <c r="AD163" s="90"/>
      <c r="AE163" s="89"/>
      <c r="AF163" s="91"/>
      <c r="AG163" s="91"/>
      <c r="AH163" s="91"/>
      <c r="AI163" s="91"/>
      <c r="AT163" s="92"/>
      <c r="AU163" s="92"/>
      <c r="AV163" s="92"/>
      <c r="AX163" s="5" t="s">
        <v>56</v>
      </c>
      <c r="BG163" s="11"/>
      <c r="BN163" s="89" t="s">
        <v>57</v>
      </c>
      <c r="BT163" s="93" t="s">
        <v>58</v>
      </c>
      <c r="BU163" s="504" t="e">
        <f>BU162</f>
        <v>#DIV/0!</v>
      </c>
      <c r="BV163" s="504" t="e">
        <f>IF(BV162&lt;0,"0%",BV162)</f>
        <v>#DIV/0!</v>
      </c>
      <c r="BW163" s="505" t="e">
        <f>IF(BW162&lt;0,"0%",BW162)</f>
        <v>#DIV/0!</v>
      </c>
    </row>
    <row r="164" spans="1:256" ht="26.5" hidden="1" thickBot="1">
      <c r="A164" s="424"/>
      <c r="B164" s="5"/>
      <c r="C164" s="94"/>
      <c r="D164" s="94"/>
      <c r="E164" s="94"/>
      <c r="F164" s="94"/>
      <c r="G164" s="94"/>
      <c r="H164" s="94"/>
      <c r="I164" s="95"/>
      <c r="J164" s="5"/>
      <c r="K164" s="5"/>
      <c r="R164" s="96"/>
      <c r="S164" s="96"/>
      <c r="T164" s="96"/>
      <c r="U164" s="96"/>
      <c r="V164" s="96"/>
      <c r="W164" s="96"/>
      <c r="X164" s="96"/>
      <c r="AF164" s="1"/>
      <c r="AI164" s="11"/>
      <c r="AJ164" s="97"/>
      <c r="AK164" s="97"/>
      <c r="AL164" s="98"/>
      <c r="AM164" s="99"/>
      <c r="AO164" s="100" t="s">
        <v>59</v>
      </c>
      <c r="AP164" s="101">
        <f>TINV((1-$H$1),(AB162-2))</f>
        <v>4.3026527297494619</v>
      </c>
      <c r="AR164" s="506" t="s">
        <v>60</v>
      </c>
      <c r="AS164" s="102">
        <f>$H$1</f>
        <v>0.95</v>
      </c>
      <c r="AT164" s="507" t="e">
        <f>EXP(AM162-AP164*SQRT((1/AD162)+AH162))</f>
        <v>#DIV/0!</v>
      </c>
      <c r="AU164" s="507" t="e">
        <f>EXP(AM162+AP164*SQRT((1/AD162)+AH162))</f>
        <v>#DIV/0!</v>
      </c>
      <c r="AV164" s="17"/>
      <c r="AX164" s="103" t="e">
        <f>_xlfn.CHISQ.DIST.RT(AX162,AY162-1)</f>
        <v>#DIV/0!</v>
      </c>
      <c r="AY164" s="104" t="e">
        <f>IF(AX164&lt;0.05,"heterogeneidad","homogeneidad")</f>
        <v>#DIV/0!</v>
      </c>
      <c r="BF164" s="105"/>
      <c r="BG164" s="11"/>
      <c r="BH164" s="11"/>
      <c r="BJ164" s="44"/>
      <c r="BL164" s="11"/>
      <c r="BM164" s="106"/>
      <c r="BQ164" s="11"/>
    </row>
    <row r="165" spans="1:256" ht="14.5" hidden="1">
      <c r="A165" s="424"/>
      <c r="C165" s="85"/>
      <c r="D165" s="85"/>
      <c r="E165" s="85"/>
      <c r="F165" s="85"/>
      <c r="G165" s="85"/>
      <c r="H165" s="85"/>
      <c r="I165" s="86"/>
      <c r="R165" s="96"/>
      <c r="S165" s="96"/>
      <c r="T165" s="96"/>
      <c r="U165" s="96"/>
      <c r="V165" s="96"/>
      <c r="W165" s="96"/>
      <c r="X165" s="96"/>
      <c r="AF165" s="1"/>
      <c r="AI165" s="11"/>
      <c r="AJ165" s="97"/>
      <c r="AK165" s="97"/>
      <c r="AL165" s="98"/>
      <c r="AM165" s="99"/>
      <c r="AN165" s="107"/>
      <c r="AO165" s="108"/>
      <c r="AP165" s="14"/>
      <c r="AS165" s="109"/>
      <c r="AT165" s="17"/>
      <c r="AU165" s="17"/>
      <c r="AV165" s="17"/>
      <c r="BF165" s="105"/>
      <c r="BG165" s="11"/>
      <c r="BH165" s="11"/>
      <c r="BJ165" s="44"/>
      <c r="BL165" s="11"/>
      <c r="BM165" s="110"/>
      <c r="BQ165" s="11"/>
    </row>
    <row r="166" spans="1:256" ht="13" hidden="1" customHeight="1">
      <c r="A166" s="424"/>
      <c r="C166" s="85"/>
      <c r="D166" s="85"/>
      <c r="E166" s="85"/>
      <c r="F166" s="85"/>
      <c r="G166" s="85"/>
      <c r="H166" s="85"/>
      <c r="I166" s="86"/>
      <c r="J166" s="619" t="s">
        <v>4</v>
      </c>
      <c r="K166" s="620"/>
      <c r="L166" s="620"/>
      <c r="M166" s="620"/>
      <c r="N166" s="620"/>
      <c r="O166" s="620"/>
      <c r="P166" s="620"/>
      <c r="Q166" s="620"/>
      <c r="R166" s="620"/>
      <c r="S166" s="620"/>
      <c r="T166" s="620"/>
      <c r="U166" s="620"/>
      <c r="V166" s="620"/>
      <c r="W166" s="621"/>
      <c r="X166" s="12"/>
      <c r="Y166" s="619" t="s">
        <v>5</v>
      </c>
      <c r="Z166" s="620"/>
      <c r="AA166" s="620"/>
      <c r="AB166" s="620"/>
      <c r="AC166" s="620"/>
      <c r="AD166" s="620"/>
      <c r="AE166" s="620"/>
      <c r="AF166" s="620"/>
      <c r="AG166" s="620"/>
      <c r="AH166" s="620"/>
      <c r="AI166" s="620"/>
      <c r="AJ166" s="620"/>
      <c r="AK166" s="620"/>
      <c r="AL166" s="620"/>
      <c r="AM166" s="620"/>
      <c r="AN166" s="620"/>
      <c r="AO166" s="620"/>
      <c r="AP166" s="620"/>
      <c r="AQ166" s="620"/>
      <c r="AR166" s="620"/>
      <c r="AS166" s="620"/>
      <c r="AT166" s="620"/>
      <c r="AU166" s="621"/>
      <c r="AV166" s="12"/>
      <c r="AW166" s="619" t="s">
        <v>229</v>
      </c>
      <c r="AX166" s="620"/>
      <c r="AY166" s="620"/>
      <c r="AZ166" s="620"/>
      <c r="BA166" s="620"/>
      <c r="BB166" s="620"/>
      <c r="BC166" s="620"/>
      <c r="BD166" s="620"/>
      <c r="BE166" s="620"/>
      <c r="BF166" s="620"/>
      <c r="BG166" s="620"/>
      <c r="BH166" s="620"/>
      <c r="BI166" s="620"/>
      <c r="BJ166" s="620"/>
      <c r="BK166" s="620"/>
      <c r="BL166" s="620"/>
      <c r="BM166" s="620"/>
      <c r="BN166" s="620"/>
      <c r="BO166" s="620"/>
      <c r="BP166" s="620"/>
      <c r="BQ166" s="620"/>
      <c r="BR166" s="620"/>
      <c r="BS166" s="620"/>
      <c r="BT166" s="620"/>
      <c r="BU166" s="620"/>
      <c r="BV166" s="620"/>
      <c r="BW166" s="621"/>
    </row>
    <row r="167" spans="1:256" hidden="1">
      <c r="A167" s="551"/>
      <c r="B167" s="13" t="s">
        <v>6</v>
      </c>
      <c r="C167" s="618" t="s">
        <v>7</v>
      </c>
      <c r="D167" s="618"/>
      <c r="E167" s="618"/>
      <c r="F167" s="618" t="s">
        <v>8</v>
      </c>
      <c r="G167" s="618"/>
      <c r="H167" s="618"/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ht="60" hidden="1">
      <c r="A168" s="424"/>
      <c r="B168" s="512"/>
      <c r="C168" s="16" t="s">
        <v>9</v>
      </c>
      <c r="D168" s="16" t="s">
        <v>10</v>
      </c>
      <c r="E168" s="16" t="s">
        <v>11</v>
      </c>
      <c r="F168" s="16" t="s">
        <v>9</v>
      </c>
      <c r="G168" s="16" t="s">
        <v>10</v>
      </c>
      <c r="H168" s="16" t="s">
        <v>11</v>
      </c>
      <c r="I168" s="17"/>
      <c r="K168" s="18" t="s">
        <v>12</v>
      </c>
      <c r="L168" s="18" t="s">
        <v>13</v>
      </c>
      <c r="M168" s="18" t="s">
        <v>14</v>
      </c>
      <c r="N168" s="19" t="s">
        <v>15</v>
      </c>
      <c r="O168" s="19" t="s">
        <v>16</v>
      </c>
      <c r="P168" s="19" t="s">
        <v>17</v>
      </c>
      <c r="Q168" s="495" t="s">
        <v>18</v>
      </c>
      <c r="R168" s="495" t="s">
        <v>19</v>
      </c>
      <c r="S168" s="496" t="s">
        <v>3</v>
      </c>
      <c r="T168" s="495" t="s">
        <v>20</v>
      </c>
      <c r="U168" s="495" t="s">
        <v>21</v>
      </c>
      <c r="V168" s="495" t="s">
        <v>22</v>
      </c>
      <c r="W168" s="495" t="s">
        <v>22</v>
      </c>
      <c r="X168" s="20"/>
      <c r="Y168" s="21"/>
      <c r="Z168" s="22" t="s">
        <v>23</v>
      </c>
      <c r="AA168" s="19" t="s">
        <v>24</v>
      </c>
      <c r="AB168" s="3" t="s">
        <v>25</v>
      </c>
      <c r="AC168" s="3" t="s">
        <v>26</v>
      </c>
      <c r="AD168" s="3" t="s">
        <v>27</v>
      </c>
      <c r="AE168" s="19" t="s">
        <v>28</v>
      </c>
      <c r="AF168" s="19" t="s">
        <v>29</v>
      </c>
      <c r="AG168" s="23" t="s">
        <v>30</v>
      </c>
      <c r="AH168" s="23" t="s">
        <v>31</v>
      </c>
      <c r="AI168" s="3" t="s">
        <v>32</v>
      </c>
      <c r="AJ168" s="19" t="s">
        <v>33</v>
      </c>
      <c r="AK168" s="19" t="s">
        <v>34</v>
      </c>
      <c r="AL168" s="19" t="s">
        <v>35</v>
      </c>
      <c r="AM168" s="3" t="s">
        <v>36</v>
      </c>
      <c r="AN168" s="496" t="s">
        <v>37</v>
      </c>
      <c r="AO168" s="19" t="s">
        <v>38</v>
      </c>
      <c r="AP168" s="19" t="s">
        <v>39</v>
      </c>
      <c r="AQ168" s="3" t="s">
        <v>3</v>
      </c>
      <c r="AR168" s="19" t="s">
        <v>40</v>
      </c>
      <c r="AS168" s="19" t="s">
        <v>41</v>
      </c>
      <c r="AT168" s="495" t="s">
        <v>22</v>
      </c>
      <c r="AU168" s="495" t="s">
        <v>22</v>
      </c>
      <c r="AV168" s="20"/>
      <c r="AX168" s="24" t="s">
        <v>42</v>
      </c>
      <c r="AY168" s="24" t="s">
        <v>25</v>
      </c>
      <c r="AZ168" s="25" t="s">
        <v>61</v>
      </c>
      <c r="BA168" s="26" t="s">
        <v>62</v>
      </c>
      <c r="BC168" s="3" t="s">
        <v>63</v>
      </c>
      <c r="BD168" s="3" t="s">
        <v>64</v>
      </c>
      <c r="BE168" s="3" t="s">
        <v>43</v>
      </c>
      <c r="BF168" s="3" t="s">
        <v>44</v>
      </c>
      <c r="BG168" s="3" t="s">
        <v>45</v>
      </c>
      <c r="BH168" s="3" t="s">
        <v>46</v>
      </c>
      <c r="BI168" s="3" t="s">
        <v>47</v>
      </c>
      <c r="BJ168" s="3" t="s">
        <v>65</v>
      </c>
      <c r="BK168" s="3" t="s">
        <v>48</v>
      </c>
      <c r="BL168" s="3" t="s">
        <v>49</v>
      </c>
      <c r="BM168" s="27" t="s">
        <v>66</v>
      </c>
      <c r="BN168" s="27" t="s">
        <v>67</v>
      </c>
      <c r="BO168" s="27" t="s">
        <v>68</v>
      </c>
      <c r="BP168" s="27" t="s">
        <v>69</v>
      </c>
      <c r="BQ168" s="27" t="s">
        <v>70</v>
      </c>
      <c r="BR168" s="28"/>
      <c r="BS168" s="19" t="s">
        <v>71</v>
      </c>
      <c r="BT168" s="19" t="s">
        <v>72</v>
      </c>
      <c r="BU168" s="495" t="s">
        <v>226</v>
      </c>
      <c r="BV168" s="495" t="s">
        <v>227</v>
      </c>
      <c r="BW168" s="495" t="s">
        <v>228</v>
      </c>
    </row>
    <row r="169" spans="1:256" hidden="1">
      <c r="A169" s="547"/>
      <c r="B169" s="29" t="s">
        <v>50</v>
      </c>
      <c r="C169" s="30"/>
      <c r="D169" s="31">
        <f>E169-C169</f>
        <v>0</v>
      </c>
      <c r="E169" s="32"/>
      <c r="F169" s="30"/>
      <c r="G169" s="31">
        <f>H169-F169</f>
        <v>0</v>
      </c>
      <c r="H169" s="32"/>
      <c r="I169" s="33"/>
      <c r="K169" s="34" t="e">
        <f>(C169/E169)/(F169/H169)</f>
        <v>#DIV/0!</v>
      </c>
      <c r="L169" s="35" t="e">
        <f>(D169/(C169*E169)+(G169/(F169*H169)))</f>
        <v>#DIV/0!</v>
      </c>
      <c r="M169" s="36" t="e">
        <f>1/L169</f>
        <v>#DIV/0!</v>
      </c>
      <c r="N169" s="37" t="e">
        <f>LN(K169)</f>
        <v>#DIV/0!</v>
      </c>
      <c r="O169" s="37" t="e">
        <f>M169*N169</f>
        <v>#DIV/0!</v>
      </c>
      <c r="P169" s="37" t="e">
        <f>LN(K169)</f>
        <v>#DIV/0!</v>
      </c>
      <c r="Q169" s="111" t="e">
        <f>K169</f>
        <v>#DIV/0!</v>
      </c>
      <c r="R169" s="39" t="e">
        <f>SQRT(1/M169)</f>
        <v>#DIV/0!</v>
      </c>
      <c r="S169" s="40">
        <f>$H$2</f>
        <v>1.9599639845400536</v>
      </c>
      <c r="T169" s="41" t="e">
        <f>P169-(R169*S169)</f>
        <v>#DIV/0!</v>
      </c>
      <c r="U169" s="41" t="e">
        <f>P169+(R169*S169)</f>
        <v>#DIV/0!</v>
      </c>
      <c r="V169" s="42" t="e">
        <f t="shared" ref="V169:W172" si="388">EXP(T169)</f>
        <v>#DIV/0!</v>
      </c>
      <c r="W169" s="43" t="e">
        <f t="shared" si="388"/>
        <v>#DIV/0!</v>
      </c>
      <c r="X169" s="44"/>
      <c r="Z169" s="45" t="e">
        <f>(N169-P172)^2</f>
        <v>#DIV/0!</v>
      </c>
      <c r="AA169" s="46" t="e">
        <f>M169*Z169</f>
        <v>#DIV/0!</v>
      </c>
      <c r="AB169" s="2">
        <v>1</v>
      </c>
      <c r="AC169" s="28"/>
      <c r="AD169" s="28"/>
      <c r="AE169" s="36" t="e">
        <f>M169^2</f>
        <v>#DIV/0!</v>
      </c>
      <c r="AF169" s="47"/>
      <c r="AG169" s="48" t="e">
        <f>AG172</f>
        <v>#DIV/0!</v>
      </c>
      <c r="AH169" s="48" t="e">
        <f>AH172</f>
        <v>#DIV/0!</v>
      </c>
      <c r="AI169" s="46" t="e">
        <f>1/M169</f>
        <v>#DIV/0!</v>
      </c>
      <c r="AJ169" s="49" t="e">
        <f>1/(AH169+AI169)</f>
        <v>#DIV/0!</v>
      </c>
      <c r="AK169" s="50" t="e">
        <f>AJ169/AJ172</f>
        <v>#DIV/0!</v>
      </c>
      <c r="AL169" s="51" t="e">
        <f>AJ169*N169</f>
        <v>#DIV/0!</v>
      </c>
      <c r="AM169" s="51" t="e">
        <f>AL169/AJ169</f>
        <v>#DIV/0!</v>
      </c>
      <c r="AN169" s="43" t="e">
        <f>EXP(AM169)</f>
        <v>#DIV/0!</v>
      </c>
      <c r="AO169" s="52" t="e">
        <f>1/AJ169</f>
        <v>#DIV/0!</v>
      </c>
      <c r="AP169" s="43" t="e">
        <f>SQRT(AO169)</f>
        <v>#DIV/0!</v>
      </c>
      <c r="AQ169" s="40">
        <f>$H$2</f>
        <v>1.9599639845400536</v>
      </c>
      <c r="AR169" s="41" t="e">
        <f>AM169-(AQ169*AP169)</f>
        <v>#DIV/0!</v>
      </c>
      <c r="AS169" s="41" t="e">
        <f>AM169+(1.96*AP169)</f>
        <v>#DIV/0!</v>
      </c>
      <c r="AT169" s="53" t="e">
        <f t="shared" ref="AT169:AU172" si="389">EXP(AR169)</f>
        <v>#DIV/0!</v>
      </c>
      <c r="AU169" s="53" t="e">
        <f t="shared" si="389"/>
        <v>#DIV/0!</v>
      </c>
      <c r="AV169" s="17"/>
      <c r="AX169" s="54"/>
      <c r="AY169" s="54">
        <v>1</v>
      </c>
      <c r="AZ169" s="55"/>
      <c r="BA169" s="55"/>
      <c r="BC169" s="28"/>
      <c r="BD169" s="28"/>
      <c r="BE169" s="2"/>
      <c r="BF169" s="2"/>
      <c r="BG169" s="2"/>
      <c r="BH169" s="2"/>
      <c r="BI169" s="2"/>
      <c r="BJ169" s="2"/>
      <c r="BK169" s="2"/>
      <c r="BL169" s="2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</row>
    <row r="170" spans="1:256" hidden="1">
      <c r="A170" s="424"/>
      <c r="B170" s="29" t="s">
        <v>51</v>
      </c>
      <c r="C170" s="30"/>
      <c r="D170" s="31">
        <f>E170-C170</f>
        <v>0</v>
      </c>
      <c r="E170" s="32"/>
      <c r="F170" s="30"/>
      <c r="G170" s="31">
        <f>H170-F170</f>
        <v>0</v>
      </c>
      <c r="H170" s="32"/>
      <c r="I170" s="33"/>
      <c r="K170" s="34" t="e">
        <f>(C170/E170)/(F170/H170)</f>
        <v>#DIV/0!</v>
      </c>
      <c r="L170" s="35" t="e">
        <f>(D170/(C170*E170)+(G170/(F170*H170)))</f>
        <v>#DIV/0!</v>
      </c>
      <c r="M170" s="36" t="e">
        <f>1/L170</f>
        <v>#DIV/0!</v>
      </c>
      <c r="N170" s="37" t="e">
        <f>LN(K170)</f>
        <v>#DIV/0!</v>
      </c>
      <c r="O170" s="37" t="e">
        <f>M170*N170</f>
        <v>#DIV/0!</v>
      </c>
      <c r="P170" s="37" t="e">
        <f>LN(K170)</f>
        <v>#DIV/0!</v>
      </c>
      <c r="Q170" s="111" t="e">
        <f>K170</f>
        <v>#DIV/0!</v>
      </c>
      <c r="R170" s="39" t="e">
        <f>SQRT(1/M170)</f>
        <v>#DIV/0!</v>
      </c>
      <c r="S170" s="40">
        <f>$H$2</f>
        <v>1.9599639845400536</v>
      </c>
      <c r="T170" s="41" t="e">
        <f>P170-(R170*S170)</f>
        <v>#DIV/0!</v>
      </c>
      <c r="U170" s="41" t="e">
        <f>P170+(R170*S170)</f>
        <v>#DIV/0!</v>
      </c>
      <c r="V170" s="42" t="e">
        <f t="shared" si="388"/>
        <v>#DIV/0!</v>
      </c>
      <c r="W170" s="43" t="e">
        <f t="shared" si="388"/>
        <v>#DIV/0!</v>
      </c>
      <c r="X170" s="44"/>
      <c r="Z170" s="45" t="e">
        <f>(N170-P172)^2</f>
        <v>#DIV/0!</v>
      </c>
      <c r="AA170" s="46" t="e">
        <f>M170*Z170</f>
        <v>#DIV/0!</v>
      </c>
      <c r="AB170" s="2">
        <v>1</v>
      </c>
      <c r="AC170" s="28"/>
      <c r="AD170" s="28"/>
      <c r="AE170" s="36" t="e">
        <f>M170^2</f>
        <v>#DIV/0!</v>
      </c>
      <c r="AF170" s="47"/>
      <c r="AG170" s="48" t="e">
        <f>AG172</f>
        <v>#DIV/0!</v>
      </c>
      <c r="AH170" s="48" t="e">
        <f>AH172</f>
        <v>#DIV/0!</v>
      </c>
      <c r="AI170" s="46" t="e">
        <f>1/M170</f>
        <v>#DIV/0!</v>
      </c>
      <c r="AJ170" s="49" t="e">
        <f>1/(AH170+AI170)</f>
        <v>#DIV/0!</v>
      </c>
      <c r="AK170" s="50" t="e">
        <f>AJ170/AJ172</f>
        <v>#DIV/0!</v>
      </c>
      <c r="AL170" s="51" t="e">
        <f>AJ170*N170</f>
        <v>#DIV/0!</v>
      </c>
      <c r="AM170" s="51" t="e">
        <f>AL170/AJ170</f>
        <v>#DIV/0!</v>
      </c>
      <c r="AN170" s="43" t="e">
        <f>EXP(AM170)</f>
        <v>#DIV/0!</v>
      </c>
      <c r="AO170" s="52" t="e">
        <f>1/AJ170</f>
        <v>#DIV/0!</v>
      </c>
      <c r="AP170" s="43" t="e">
        <f>SQRT(AO170)</f>
        <v>#DIV/0!</v>
      </c>
      <c r="AQ170" s="40">
        <f>$H$2</f>
        <v>1.9599639845400536</v>
      </c>
      <c r="AR170" s="41" t="e">
        <f>AM170-(AQ170*AP170)</f>
        <v>#DIV/0!</v>
      </c>
      <c r="AS170" s="41" t="e">
        <f>AM170+(1.96*AP170)</f>
        <v>#DIV/0!</v>
      </c>
      <c r="AT170" s="53" t="e">
        <f t="shared" si="389"/>
        <v>#DIV/0!</v>
      </c>
      <c r="AU170" s="53" t="e">
        <f t="shared" si="389"/>
        <v>#DIV/0!</v>
      </c>
      <c r="AV170" s="17"/>
      <c r="AX170" s="54"/>
      <c r="AY170" s="54">
        <v>1</v>
      </c>
      <c r="AZ170" s="55"/>
      <c r="BA170" s="55"/>
      <c r="BC170" s="28"/>
      <c r="BD170" s="28"/>
      <c r="BE170" s="2"/>
      <c r="BF170" s="2"/>
      <c r="BG170" s="2"/>
      <c r="BH170" s="2"/>
      <c r="BI170" s="2"/>
      <c r="BJ170" s="2"/>
      <c r="BK170" s="2"/>
      <c r="BL170" s="2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</row>
    <row r="171" spans="1:256" hidden="1">
      <c r="A171" s="424"/>
      <c r="B171" s="29" t="s">
        <v>52</v>
      </c>
      <c r="C171" s="30"/>
      <c r="D171" s="31">
        <f>E171-C171</f>
        <v>0</v>
      </c>
      <c r="E171" s="32"/>
      <c r="F171" s="30"/>
      <c r="G171" s="31">
        <f>H171-F171</f>
        <v>0</v>
      </c>
      <c r="H171" s="32"/>
      <c r="I171" s="33"/>
      <c r="K171" s="34" t="e">
        <f>(C171/E171)/(F171/H171)</f>
        <v>#DIV/0!</v>
      </c>
      <c r="L171" s="35" t="e">
        <f>(D171/(C171*E171)+(G171/(F171*H171)))</f>
        <v>#DIV/0!</v>
      </c>
      <c r="M171" s="36" t="e">
        <f>1/L171</f>
        <v>#DIV/0!</v>
      </c>
      <c r="N171" s="37" t="e">
        <f>LN(K171)</f>
        <v>#DIV/0!</v>
      </c>
      <c r="O171" s="37" t="e">
        <f>M171*N171</f>
        <v>#DIV/0!</v>
      </c>
      <c r="P171" s="37" t="e">
        <f>LN(K171)</f>
        <v>#DIV/0!</v>
      </c>
      <c r="Q171" s="111" t="e">
        <f>K171</f>
        <v>#DIV/0!</v>
      </c>
      <c r="R171" s="39" t="e">
        <f>SQRT(1/M171)</f>
        <v>#DIV/0!</v>
      </c>
      <c r="S171" s="40">
        <f>$H$2</f>
        <v>1.9599639845400536</v>
      </c>
      <c r="T171" s="41" t="e">
        <f>P171-(R171*S171)</f>
        <v>#DIV/0!</v>
      </c>
      <c r="U171" s="41" t="e">
        <f>P171+(R171*S171)</f>
        <v>#DIV/0!</v>
      </c>
      <c r="V171" s="42" t="e">
        <f t="shared" si="388"/>
        <v>#DIV/0!</v>
      </c>
      <c r="W171" s="43" t="e">
        <f t="shared" si="388"/>
        <v>#DIV/0!</v>
      </c>
      <c r="X171" s="44"/>
      <c r="Z171" s="45" t="e">
        <f>(N171-P172)^2</f>
        <v>#DIV/0!</v>
      </c>
      <c r="AA171" s="46" t="e">
        <f>M171*Z171</f>
        <v>#DIV/0!</v>
      </c>
      <c r="AB171" s="2">
        <v>1</v>
      </c>
      <c r="AC171" s="28"/>
      <c r="AD171" s="28"/>
      <c r="AE171" s="36" t="e">
        <f>M171^2</f>
        <v>#DIV/0!</v>
      </c>
      <c r="AF171" s="47"/>
      <c r="AG171" s="48" t="e">
        <f>AG172</f>
        <v>#DIV/0!</v>
      </c>
      <c r="AH171" s="48" t="e">
        <f>AH172</f>
        <v>#DIV/0!</v>
      </c>
      <c r="AI171" s="46" t="e">
        <f>1/M171</f>
        <v>#DIV/0!</v>
      </c>
      <c r="AJ171" s="49" t="e">
        <f>1/(AH171+AI171)</f>
        <v>#DIV/0!</v>
      </c>
      <c r="AK171" s="50" t="e">
        <f>AJ171/AJ172</f>
        <v>#DIV/0!</v>
      </c>
      <c r="AL171" s="51" t="e">
        <f>AJ171*N171</f>
        <v>#DIV/0!</v>
      </c>
      <c r="AM171" s="51" t="e">
        <f>AL171/AJ171</f>
        <v>#DIV/0!</v>
      </c>
      <c r="AN171" s="43" t="e">
        <f>EXP(AM171)</f>
        <v>#DIV/0!</v>
      </c>
      <c r="AO171" s="52" t="e">
        <f>1/AJ171</f>
        <v>#DIV/0!</v>
      </c>
      <c r="AP171" s="43" t="e">
        <f>SQRT(AO171)</f>
        <v>#DIV/0!</v>
      </c>
      <c r="AQ171" s="40">
        <f>$H$2</f>
        <v>1.9599639845400536</v>
      </c>
      <c r="AR171" s="41" t="e">
        <f>AM171-(AQ171*AP171)</f>
        <v>#DIV/0!</v>
      </c>
      <c r="AS171" s="41" t="e">
        <f>AM171+(1.96*AP171)</f>
        <v>#DIV/0!</v>
      </c>
      <c r="AT171" s="53" t="e">
        <f t="shared" si="389"/>
        <v>#DIV/0!</v>
      </c>
      <c r="AU171" s="53" t="e">
        <f t="shared" si="389"/>
        <v>#DIV/0!</v>
      </c>
      <c r="AV171" s="17"/>
      <c r="AX171" s="54"/>
      <c r="AY171" s="54">
        <v>1</v>
      </c>
      <c r="AZ171" s="55"/>
      <c r="BA171" s="55"/>
      <c r="BC171" s="28"/>
      <c r="BD171" s="28"/>
      <c r="BE171" s="2"/>
      <c r="BF171" s="2"/>
      <c r="BG171" s="2"/>
      <c r="BH171" s="2"/>
      <c r="BI171" s="2"/>
      <c r="BJ171" s="2"/>
      <c r="BK171" s="2"/>
      <c r="BL171" s="2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</row>
    <row r="172" spans="1:256" hidden="1">
      <c r="A172" s="547"/>
      <c r="B172" s="56">
        <f>COUNT(D169:D171)</f>
        <v>3</v>
      </c>
      <c r="C172" s="57">
        <f t="shared" ref="C172:H172" si="390">SUM(C169:C171)</f>
        <v>0</v>
      </c>
      <c r="D172" s="57">
        <f t="shared" si="390"/>
        <v>0</v>
      </c>
      <c r="E172" s="57">
        <f t="shared" si="390"/>
        <v>0</v>
      </c>
      <c r="F172" s="57">
        <f t="shared" si="390"/>
        <v>0</v>
      </c>
      <c r="G172" s="57">
        <f t="shared" si="390"/>
        <v>0</v>
      </c>
      <c r="H172" s="57">
        <f t="shared" si="390"/>
        <v>0</v>
      </c>
      <c r="I172" s="58"/>
      <c r="K172" s="59"/>
      <c r="L172" s="60"/>
      <c r="M172" s="61" t="e">
        <f>SUM(M169:M171)</f>
        <v>#DIV/0!</v>
      </c>
      <c r="N172" s="62"/>
      <c r="O172" s="63" t="e">
        <f>SUM(O169:O171)</f>
        <v>#DIV/0!</v>
      </c>
      <c r="P172" s="64" t="e">
        <f>O172/M172</f>
        <v>#DIV/0!</v>
      </c>
      <c r="Q172" s="497" t="e">
        <f>EXP(P172)</f>
        <v>#DIV/0!</v>
      </c>
      <c r="R172" s="497" t="e">
        <f>SQRT(1/M172)</f>
        <v>#DIV/0!</v>
      </c>
      <c r="S172" s="498">
        <f>$H$2</f>
        <v>1.9599639845400536</v>
      </c>
      <c r="T172" s="499" t="e">
        <f>P172-(R172*S172)</f>
        <v>#DIV/0!</v>
      </c>
      <c r="U172" s="499" t="e">
        <f>P172+(R172*S172)</f>
        <v>#DIV/0!</v>
      </c>
      <c r="V172" s="500" t="e">
        <f t="shared" si="388"/>
        <v>#DIV/0!</v>
      </c>
      <c r="W172" s="501" t="e">
        <f t="shared" si="388"/>
        <v>#DIV/0!</v>
      </c>
      <c r="X172" s="66"/>
      <c r="Y172" s="66"/>
      <c r="Z172" s="67"/>
      <c r="AA172" s="68" t="e">
        <f>SUM(AA169:AA171)</f>
        <v>#DIV/0!</v>
      </c>
      <c r="AB172" s="69">
        <f>SUM(AB169:AB171)</f>
        <v>3</v>
      </c>
      <c r="AC172" s="70" t="e">
        <f>AA172-(AB172-1)</f>
        <v>#DIV/0!</v>
      </c>
      <c r="AD172" s="61" t="e">
        <f>M172</f>
        <v>#DIV/0!</v>
      </c>
      <c r="AE172" s="61" t="e">
        <f>SUM(AE169:AE171)</f>
        <v>#DIV/0!</v>
      </c>
      <c r="AF172" s="71" t="e">
        <f>AE172/AD172</f>
        <v>#DIV/0!</v>
      </c>
      <c r="AG172" s="72" t="e">
        <f>AC172/(AD172-AF172)</f>
        <v>#DIV/0!</v>
      </c>
      <c r="AH172" s="72" t="e">
        <f>IF(AA172&lt;AB172-1,"0",AG172)</f>
        <v>#DIV/0!</v>
      </c>
      <c r="AI172" s="67"/>
      <c r="AJ172" s="61" t="e">
        <f>SUM(AJ169:AJ171)</f>
        <v>#DIV/0!</v>
      </c>
      <c r="AK172" s="73" t="e">
        <f>SUM(AK169:AK171)</f>
        <v>#DIV/0!</v>
      </c>
      <c r="AL172" s="70" t="e">
        <f>SUM(AL169:AL171)</f>
        <v>#DIV/0!</v>
      </c>
      <c r="AM172" s="70" t="e">
        <f>AL172/AJ172</f>
        <v>#DIV/0!</v>
      </c>
      <c r="AN172" s="502" t="e">
        <f>EXP(AM172)</f>
        <v>#DIV/0!</v>
      </c>
      <c r="AO172" s="74" t="e">
        <f>1/AJ172</f>
        <v>#DIV/0!</v>
      </c>
      <c r="AP172" s="75" t="e">
        <f>SQRT(AO172)</f>
        <v>#DIV/0!</v>
      </c>
      <c r="AQ172" s="40">
        <f>$H$2</f>
        <v>1.9599639845400536</v>
      </c>
      <c r="AR172" s="65" t="e">
        <f>AM172-(AQ172*AP172)</f>
        <v>#DIV/0!</v>
      </c>
      <c r="AS172" s="65" t="e">
        <f>AM172+(1.96*AP172)</f>
        <v>#DIV/0!</v>
      </c>
      <c r="AT172" s="503" t="e">
        <f t="shared" si="389"/>
        <v>#DIV/0!</v>
      </c>
      <c r="AU172" s="503" t="e">
        <f t="shared" si="389"/>
        <v>#DIV/0!</v>
      </c>
      <c r="AV172" s="76"/>
      <c r="AW172" s="77"/>
      <c r="AX172" s="78" t="e">
        <f>AA172</f>
        <v>#DIV/0!</v>
      </c>
      <c r="AY172" s="56">
        <f>SUM(AY169:AY171)</f>
        <v>3</v>
      </c>
      <c r="AZ172" s="79" t="e">
        <f>(AX172-(AY172-1))/AX172</f>
        <v>#DIV/0!</v>
      </c>
      <c r="BA172" s="80" t="e">
        <f>IF(AA172&lt;AB172-1,"0%",AZ172)</f>
        <v>#DIV/0!</v>
      </c>
      <c r="BB172" s="77"/>
      <c r="BC172" s="63" t="e">
        <f>AX172/(AY172-1)</f>
        <v>#DIV/0!</v>
      </c>
      <c r="BD172" s="81" t="e">
        <f>LN(BC172)</f>
        <v>#DIV/0!</v>
      </c>
      <c r="BE172" s="63" t="e">
        <f>LN(AX172)</f>
        <v>#DIV/0!</v>
      </c>
      <c r="BF172" s="63">
        <f>LN(AY172-1)</f>
        <v>0.69314718055994529</v>
      </c>
      <c r="BG172" s="63" t="e">
        <f>SQRT(2*AX172)</f>
        <v>#DIV/0!</v>
      </c>
      <c r="BH172" s="63">
        <f>SQRT(2*AY172-3)</f>
        <v>1.7320508075688772</v>
      </c>
      <c r="BI172" s="63">
        <f>2*(AY172-2)</f>
        <v>2</v>
      </c>
      <c r="BJ172" s="63">
        <f>3*(AY172-2)^2</f>
        <v>3</v>
      </c>
      <c r="BK172" s="63">
        <f>1/BI172</f>
        <v>0.5</v>
      </c>
      <c r="BL172" s="82">
        <f>1/BJ172</f>
        <v>0.33333333333333331</v>
      </c>
      <c r="BM172" s="82">
        <f>SQRT(BK172*(1-BL172))</f>
        <v>0.57735026918962584</v>
      </c>
      <c r="BN172" s="83" t="e">
        <f>0.5*(BE172-BF172)/(BG172-BH172)</f>
        <v>#DIV/0!</v>
      </c>
      <c r="BO172" s="83" t="e">
        <f>IF(AA172&lt;=AB172,BM172,BN172)</f>
        <v>#DIV/0!</v>
      </c>
      <c r="BP172" s="70" t="e">
        <f>BD172-(1.96*BO172)</f>
        <v>#DIV/0!</v>
      </c>
      <c r="BQ172" s="70" t="e">
        <f>BD172+(1.96*BO172)</f>
        <v>#DIV/0!</v>
      </c>
      <c r="BR172" s="70"/>
      <c r="BS172" s="81" t="e">
        <f>EXP(BP172)</f>
        <v>#DIV/0!</v>
      </c>
      <c r="BT172" s="81" t="e">
        <f>EXP(BQ172)</f>
        <v>#DIV/0!</v>
      </c>
      <c r="BU172" s="84" t="e">
        <f>BA172</f>
        <v>#DIV/0!</v>
      </c>
      <c r="BV172" s="84" t="e">
        <f>(BS172-1)/BS172</f>
        <v>#DIV/0!</v>
      </c>
      <c r="BW172" s="84" t="e">
        <f>(BT172-1)/BT172</f>
        <v>#DIV/0!</v>
      </c>
    </row>
    <row r="173" spans="1:256" ht="13.5" hidden="1" thickBot="1">
      <c r="A173" s="424"/>
      <c r="C173" s="85"/>
      <c r="D173" s="85"/>
      <c r="E173" s="85"/>
      <c r="F173" s="85"/>
      <c r="G173" s="85"/>
      <c r="H173" s="85"/>
      <c r="I173" s="86"/>
      <c r="R173" s="87"/>
      <c r="S173" s="87"/>
      <c r="T173" s="87"/>
      <c r="U173" s="87"/>
      <c r="V173" s="87"/>
      <c r="W173" s="87"/>
      <c r="X173" s="87"/>
      <c r="AB173" s="88"/>
      <c r="AC173" s="89"/>
      <c r="AD173" s="90"/>
      <c r="AE173" s="89"/>
      <c r="AF173" s="91"/>
      <c r="AG173" s="91"/>
      <c r="AH173" s="91"/>
      <c r="AI173" s="91"/>
      <c r="AT173" s="92"/>
      <c r="AU173" s="92"/>
      <c r="AV173" s="92"/>
      <c r="AX173" s="5" t="s">
        <v>56</v>
      </c>
      <c r="BG173" s="11"/>
      <c r="BN173" s="89" t="s">
        <v>57</v>
      </c>
      <c r="BT173" s="93" t="s">
        <v>58</v>
      </c>
      <c r="BU173" s="504" t="e">
        <f>BU172</f>
        <v>#DIV/0!</v>
      </c>
      <c r="BV173" s="504" t="e">
        <f>IF(BV172&lt;0,"0%",BV172)</f>
        <v>#DIV/0!</v>
      </c>
      <c r="BW173" s="505" t="e">
        <f>IF(BW172&lt;0,"0%",BW172)</f>
        <v>#DIV/0!</v>
      </c>
    </row>
    <row r="174" spans="1:256" ht="26.5" hidden="1" thickBot="1">
      <c r="A174" s="547"/>
      <c r="B174" s="5"/>
      <c r="C174" s="94"/>
      <c r="D174" s="94"/>
      <c r="E174" s="94"/>
      <c r="F174" s="94"/>
      <c r="G174" s="94"/>
      <c r="H174" s="94"/>
      <c r="I174" s="95"/>
      <c r="J174" s="5"/>
      <c r="K174" s="5"/>
      <c r="L174" s="5"/>
      <c r="R174" s="96"/>
      <c r="S174" s="96"/>
      <c r="T174" s="96"/>
      <c r="U174" s="96"/>
      <c r="V174" s="96"/>
      <c r="W174" s="96"/>
      <c r="X174" s="96"/>
      <c r="AF174" s="1"/>
      <c r="AI174" s="11"/>
      <c r="AJ174" s="97"/>
      <c r="AK174" s="97"/>
      <c r="AL174" s="98"/>
      <c r="AM174" s="99"/>
      <c r="AO174" s="100" t="s">
        <v>59</v>
      </c>
      <c r="AP174" s="101">
        <f>TINV((1-$H$1),(AB172-2))</f>
        <v>12.706204736174694</v>
      </c>
      <c r="AR174" s="506" t="s">
        <v>60</v>
      </c>
      <c r="AS174" s="102">
        <f>$H$1</f>
        <v>0.95</v>
      </c>
      <c r="AT174" s="507" t="e">
        <f>EXP(AM172-AP174*SQRT((1/AD172)+AH172))</f>
        <v>#DIV/0!</v>
      </c>
      <c r="AU174" s="507" t="e">
        <f>EXP(AM172+AP174*SQRT((1/AD172)+AH172))</f>
        <v>#DIV/0!</v>
      </c>
      <c r="AV174" s="17"/>
      <c r="AX174" s="103" t="e">
        <f>_xlfn.CHISQ.DIST.RT(AX172,AY172-1)</f>
        <v>#DIV/0!</v>
      </c>
      <c r="AY174" s="104" t="e">
        <f>IF(AX174&lt;0.05,"heterogeneidad","homogeneidad")</f>
        <v>#DIV/0!</v>
      </c>
      <c r="BF174" s="105"/>
      <c r="BG174" s="11"/>
      <c r="BH174" s="11"/>
      <c r="BJ174" s="44"/>
      <c r="BL174" s="11"/>
      <c r="BM174" s="106"/>
      <c r="BQ174" s="11"/>
    </row>
    <row r="175" spans="1:256" ht="14.5" hidden="1">
      <c r="A175" s="424"/>
      <c r="C175" s="85"/>
      <c r="D175" s="85"/>
      <c r="E175" s="85"/>
      <c r="F175" s="85"/>
      <c r="G175" s="85"/>
      <c r="H175" s="85"/>
      <c r="I175" s="86"/>
      <c r="R175" s="96"/>
      <c r="S175" s="96"/>
      <c r="T175" s="96"/>
      <c r="U175" s="96"/>
      <c r="V175" s="96"/>
      <c r="W175" s="96"/>
      <c r="X175" s="96"/>
      <c r="AF175" s="1"/>
      <c r="AI175" s="11"/>
      <c r="AJ175" s="97"/>
      <c r="AK175" s="97"/>
      <c r="AL175" s="98"/>
      <c r="AM175" s="99"/>
      <c r="AN175" s="107"/>
      <c r="AO175" s="108"/>
      <c r="AP175" s="14"/>
      <c r="AS175" s="109"/>
      <c r="AT175" s="17"/>
      <c r="AU175" s="17"/>
      <c r="AV175" s="17"/>
      <c r="BF175" s="105"/>
      <c r="BG175" s="11"/>
      <c r="BH175" s="11"/>
      <c r="BJ175" s="44"/>
      <c r="BL175" s="11"/>
      <c r="BM175" s="110"/>
      <c r="BQ175" s="11"/>
    </row>
    <row r="176" spans="1:256" ht="13" hidden="1" customHeight="1">
      <c r="A176" s="424"/>
      <c r="C176" s="85"/>
      <c r="D176" s="85"/>
      <c r="E176" s="85"/>
      <c r="F176" s="85"/>
      <c r="G176" s="85"/>
      <c r="H176" s="85"/>
      <c r="I176" s="86"/>
      <c r="J176" s="619" t="s">
        <v>4</v>
      </c>
      <c r="K176" s="620"/>
      <c r="L176" s="620"/>
      <c r="M176" s="620"/>
      <c r="N176" s="620"/>
      <c r="O176" s="620"/>
      <c r="P176" s="620"/>
      <c r="Q176" s="620"/>
      <c r="R176" s="620"/>
      <c r="S176" s="620"/>
      <c r="T176" s="620"/>
      <c r="U176" s="620"/>
      <c r="V176" s="620"/>
      <c r="W176" s="621"/>
      <c r="X176" s="12"/>
      <c r="Y176" s="619" t="s">
        <v>5</v>
      </c>
      <c r="Z176" s="620"/>
      <c r="AA176" s="620"/>
      <c r="AB176" s="620"/>
      <c r="AC176" s="620"/>
      <c r="AD176" s="620"/>
      <c r="AE176" s="620"/>
      <c r="AF176" s="620"/>
      <c r="AG176" s="620"/>
      <c r="AH176" s="620"/>
      <c r="AI176" s="620"/>
      <c r="AJ176" s="620"/>
      <c r="AK176" s="620"/>
      <c r="AL176" s="620"/>
      <c r="AM176" s="620"/>
      <c r="AN176" s="620"/>
      <c r="AO176" s="620"/>
      <c r="AP176" s="620"/>
      <c r="AQ176" s="620"/>
      <c r="AR176" s="620"/>
      <c r="AS176" s="620"/>
      <c r="AT176" s="620"/>
      <c r="AU176" s="621"/>
      <c r="AV176" s="12"/>
      <c r="AW176" s="619" t="s">
        <v>229</v>
      </c>
      <c r="AX176" s="620"/>
      <c r="AY176" s="620"/>
      <c r="AZ176" s="620"/>
      <c r="BA176" s="620"/>
      <c r="BB176" s="620"/>
      <c r="BC176" s="620"/>
      <c r="BD176" s="620"/>
      <c r="BE176" s="620"/>
      <c r="BF176" s="620"/>
      <c r="BG176" s="620"/>
      <c r="BH176" s="620"/>
      <c r="BI176" s="620"/>
      <c r="BJ176" s="620"/>
      <c r="BK176" s="620"/>
      <c r="BL176" s="620"/>
      <c r="BM176" s="620"/>
      <c r="BN176" s="620"/>
      <c r="BO176" s="620"/>
      <c r="BP176" s="620"/>
      <c r="BQ176" s="620"/>
      <c r="BR176" s="620"/>
      <c r="BS176" s="620"/>
      <c r="BT176" s="620"/>
      <c r="BU176" s="620"/>
      <c r="BV176" s="620"/>
      <c r="BW176" s="621"/>
    </row>
    <row r="177" spans="1:256" hidden="1">
      <c r="A177" s="551"/>
      <c r="B177" s="13" t="s">
        <v>6</v>
      </c>
      <c r="C177" s="618" t="s">
        <v>7</v>
      </c>
      <c r="D177" s="618"/>
      <c r="E177" s="618"/>
      <c r="F177" s="618" t="s">
        <v>8</v>
      </c>
      <c r="G177" s="618"/>
      <c r="H177" s="618"/>
      <c r="I177" s="14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60" hidden="1">
      <c r="A178" s="424"/>
      <c r="B178" s="512"/>
      <c r="C178" s="16" t="s">
        <v>9</v>
      </c>
      <c r="D178" s="16" t="s">
        <v>10</v>
      </c>
      <c r="E178" s="16" t="s">
        <v>11</v>
      </c>
      <c r="F178" s="16" t="s">
        <v>9</v>
      </c>
      <c r="G178" s="16" t="s">
        <v>10</v>
      </c>
      <c r="H178" s="16" t="s">
        <v>11</v>
      </c>
      <c r="I178" s="17"/>
      <c r="K178" s="18" t="s">
        <v>12</v>
      </c>
      <c r="L178" s="18" t="s">
        <v>13</v>
      </c>
      <c r="M178" s="18" t="s">
        <v>14</v>
      </c>
      <c r="N178" s="19" t="s">
        <v>15</v>
      </c>
      <c r="O178" s="19" t="s">
        <v>16</v>
      </c>
      <c r="P178" s="19" t="s">
        <v>17</v>
      </c>
      <c r="Q178" s="495" t="s">
        <v>18</v>
      </c>
      <c r="R178" s="495" t="s">
        <v>19</v>
      </c>
      <c r="S178" s="496" t="s">
        <v>3</v>
      </c>
      <c r="T178" s="495" t="s">
        <v>20</v>
      </c>
      <c r="U178" s="495" t="s">
        <v>21</v>
      </c>
      <c r="V178" s="495" t="s">
        <v>22</v>
      </c>
      <c r="W178" s="495" t="s">
        <v>22</v>
      </c>
      <c r="X178" s="20"/>
      <c r="Y178" s="21"/>
      <c r="Z178" s="22" t="s">
        <v>23</v>
      </c>
      <c r="AA178" s="19" t="s">
        <v>24</v>
      </c>
      <c r="AB178" s="3" t="s">
        <v>25</v>
      </c>
      <c r="AC178" s="3" t="s">
        <v>26</v>
      </c>
      <c r="AD178" s="3" t="s">
        <v>27</v>
      </c>
      <c r="AE178" s="19" t="s">
        <v>28</v>
      </c>
      <c r="AF178" s="19" t="s">
        <v>29</v>
      </c>
      <c r="AG178" s="23" t="s">
        <v>30</v>
      </c>
      <c r="AH178" s="23" t="s">
        <v>31</v>
      </c>
      <c r="AI178" s="3" t="s">
        <v>32</v>
      </c>
      <c r="AJ178" s="19" t="s">
        <v>33</v>
      </c>
      <c r="AK178" s="19" t="s">
        <v>34</v>
      </c>
      <c r="AL178" s="19" t="s">
        <v>35</v>
      </c>
      <c r="AM178" s="3" t="s">
        <v>36</v>
      </c>
      <c r="AN178" s="496" t="s">
        <v>37</v>
      </c>
      <c r="AO178" s="19" t="s">
        <v>38</v>
      </c>
      <c r="AP178" s="19" t="s">
        <v>39</v>
      </c>
      <c r="AQ178" s="3" t="s">
        <v>3</v>
      </c>
      <c r="AR178" s="19" t="s">
        <v>40</v>
      </c>
      <c r="AS178" s="19" t="s">
        <v>41</v>
      </c>
      <c r="AT178" s="495" t="s">
        <v>22</v>
      </c>
      <c r="AU178" s="495" t="s">
        <v>22</v>
      </c>
      <c r="AV178" s="20"/>
      <c r="AX178" s="24" t="s">
        <v>42</v>
      </c>
      <c r="AY178" s="24" t="s">
        <v>25</v>
      </c>
      <c r="AZ178" s="25" t="s">
        <v>61</v>
      </c>
      <c r="BA178" s="26" t="s">
        <v>62</v>
      </c>
      <c r="BC178" s="3" t="s">
        <v>63</v>
      </c>
      <c r="BD178" s="3" t="s">
        <v>64</v>
      </c>
      <c r="BE178" s="3" t="s">
        <v>43</v>
      </c>
      <c r="BF178" s="3" t="s">
        <v>44</v>
      </c>
      <c r="BG178" s="3" t="s">
        <v>45</v>
      </c>
      <c r="BH178" s="3" t="s">
        <v>46</v>
      </c>
      <c r="BI178" s="3" t="s">
        <v>47</v>
      </c>
      <c r="BJ178" s="3" t="s">
        <v>65</v>
      </c>
      <c r="BK178" s="3" t="s">
        <v>48</v>
      </c>
      <c r="BL178" s="3" t="s">
        <v>49</v>
      </c>
      <c r="BM178" s="27" t="s">
        <v>66</v>
      </c>
      <c r="BN178" s="27" t="s">
        <v>67</v>
      </c>
      <c r="BO178" s="27" t="s">
        <v>68</v>
      </c>
      <c r="BP178" s="27" t="s">
        <v>69</v>
      </c>
      <c r="BQ178" s="27" t="s">
        <v>70</v>
      </c>
      <c r="BR178" s="28"/>
      <c r="BS178" s="19" t="s">
        <v>71</v>
      </c>
      <c r="BT178" s="19" t="s">
        <v>72</v>
      </c>
      <c r="BU178" s="495" t="s">
        <v>226</v>
      </c>
      <c r="BV178" s="495" t="s">
        <v>227</v>
      </c>
      <c r="BW178" s="495" t="s">
        <v>228</v>
      </c>
    </row>
    <row r="179" spans="1:256" hidden="1">
      <c r="A179" s="547"/>
      <c r="B179" s="29" t="s">
        <v>50</v>
      </c>
      <c r="C179" s="30"/>
      <c r="D179" s="31">
        <f>E179-C179</f>
        <v>0</v>
      </c>
      <c r="E179" s="32"/>
      <c r="F179" s="30"/>
      <c r="G179" s="31">
        <f>H179-F179</f>
        <v>0</v>
      </c>
      <c r="H179" s="32"/>
      <c r="I179" s="33"/>
      <c r="K179" s="34" t="e">
        <f>(C179/E179)/(F179/H179)</f>
        <v>#DIV/0!</v>
      </c>
      <c r="L179" s="35" t="e">
        <f>(D179/(C179*E179)+(G179/(F179*H179)))</f>
        <v>#DIV/0!</v>
      </c>
      <c r="M179" s="36" t="e">
        <f>1/L179</f>
        <v>#DIV/0!</v>
      </c>
      <c r="N179" s="37" t="e">
        <f>LN(K179)</f>
        <v>#DIV/0!</v>
      </c>
      <c r="O179" s="37" t="e">
        <f>M179*N179</f>
        <v>#DIV/0!</v>
      </c>
      <c r="P179" s="37" t="e">
        <f>LN(K179)</f>
        <v>#DIV/0!</v>
      </c>
      <c r="Q179" s="111" t="e">
        <f>K179</f>
        <v>#DIV/0!</v>
      </c>
      <c r="R179" s="39" t="e">
        <f>SQRT(1/M179)</f>
        <v>#DIV/0!</v>
      </c>
      <c r="S179" s="40">
        <f>$H$2</f>
        <v>1.9599639845400536</v>
      </c>
      <c r="T179" s="41" t="e">
        <f>P179-(R179*S179)</f>
        <v>#DIV/0!</v>
      </c>
      <c r="U179" s="41" t="e">
        <f>P179+(R179*S179)</f>
        <v>#DIV/0!</v>
      </c>
      <c r="V179" s="42" t="e">
        <f t="shared" ref="V179:W181" si="391">EXP(T179)</f>
        <v>#DIV/0!</v>
      </c>
      <c r="W179" s="43" t="e">
        <f t="shared" si="391"/>
        <v>#DIV/0!</v>
      </c>
      <c r="X179" s="44"/>
      <c r="Z179" s="45" t="e">
        <f>(N179-P181)^2</f>
        <v>#DIV/0!</v>
      </c>
      <c r="AA179" s="46" t="e">
        <f>M179*Z179</f>
        <v>#DIV/0!</v>
      </c>
      <c r="AB179" s="2">
        <v>1</v>
      </c>
      <c r="AC179" s="28"/>
      <c r="AD179" s="28"/>
      <c r="AE179" s="36" t="e">
        <f>M179^2</f>
        <v>#DIV/0!</v>
      </c>
      <c r="AF179" s="47"/>
      <c r="AG179" s="48" t="e">
        <f>AG181</f>
        <v>#DIV/0!</v>
      </c>
      <c r="AH179" s="48" t="e">
        <f>AH181</f>
        <v>#DIV/0!</v>
      </c>
      <c r="AI179" s="46" t="e">
        <f>1/M179</f>
        <v>#DIV/0!</v>
      </c>
      <c r="AJ179" s="49" t="e">
        <f>1/(AH179+AI179)</f>
        <v>#DIV/0!</v>
      </c>
      <c r="AK179" s="50" t="e">
        <f>AJ179/AJ181</f>
        <v>#DIV/0!</v>
      </c>
      <c r="AL179" s="51" t="e">
        <f>AJ179*N179</f>
        <v>#DIV/0!</v>
      </c>
      <c r="AM179" s="51" t="e">
        <f>AL179/AJ179</f>
        <v>#DIV/0!</v>
      </c>
      <c r="AN179" s="43" t="e">
        <f>EXP(AM179)</f>
        <v>#DIV/0!</v>
      </c>
      <c r="AO179" s="52" t="e">
        <f>1/AJ179</f>
        <v>#DIV/0!</v>
      </c>
      <c r="AP179" s="43" t="e">
        <f>SQRT(AO179)</f>
        <v>#DIV/0!</v>
      </c>
      <c r="AQ179" s="40">
        <f>$H$2</f>
        <v>1.9599639845400536</v>
      </c>
      <c r="AR179" s="41" t="e">
        <f>AM179-(AQ179*AP179)</f>
        <v>#DIV/0!</v>
      </c>
      <c r="AS179" s="41" t="e">
        <f>AM179+(1.96*AP179)</f>
        <v>#DIV/0!</v>
      </c>
      <c r="AT179" s="53" t="e">
        <f t="shared" ref="AT179:AU181" si="392">EXP(AR179)</f>
        <v>#DIV/0!</v>
      </c>
      <c r="AU179" s="53" t="e">
        <f t="shared" si="392"/>
        <v>#DIV/0!</v>
      </c>
      <c r="AV179" s="17"/>
      <c r="AX179" s="54"/>
      <c r="AY179" s="54">
        <v>1</v>
      </c>
      <c r="AZ179" s="55"/>
      <c r="BA179" s="55"/>
      <c r="BC179" s="28"/>
      <c r="BD179" s="28"/>
      <c r="BE179" s="2"/>
      <c r="BF179" s="2"/>
      <c r="BG179" s="2"/>
      <c r="BH179" s="2"/>
      <c r="BI179" s="2"/>
      <c r="BJ179" s="2"/>
      <c r="BK179" s="2"/>
      <c r="BL179" s="2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</row>
    <row r="180" spans="1:256" hidden="1">
      <c r="A180" s="424"/>
      <c r="B180" s="29" t="s">
        <v>51</v>
      </c>
      <c r="C180" s="30"/>
      <c r="D180" s="31">
        <f>E180-C180</f>
        <v>0</v>
      </c>
      <c r="E180" s="32"/>
      <c r="F180" s="30"/>
      <c r="G180" s="31">
        <f>H180-F180</f>
        <v>0</v>
      </c>
      <c r="H180" s="32"/>
      <c r="I180" s="33"/>
      <c r="K180" s="34" t="e">
        <f>(C180/E180)/(F180/H180)</f>
        <v>#DIV/0!</v>
      </c>
      <c r="L180" s="35" t="e">
        <f>(D180/(C180*E180)+(G180/(F180*H180)))</f>
        <v>#DIV/0!</v>
      </c>
      <c r="M180" s="36" t="e">
        <f>1/L180</f>
        <v>#DIV/0!</v>
      </c>
      <c r="N180" s="37" t="e">
        <f>LN(K180)</f>
        <v>#DIV/0!</v>
      </c>
      <c r="O180" s="37" t="e">
        <f>M180*N180</f>
        <v>#DIV/0!</v>
      </c>
      <c r="P180" s="37" t="e">
        <f>LN(K180)</f>
        <v>#DIV/0!</v>
      </c>
      <c r="Q180" s="111" t="e">
        <f>K180</f>
        <v>#DIV/0!</v>
      </c>
      <c r="R180" s="39" t="e">
        <f>SQRT(1/M180)</f>
        <v>#DIV/0!</v>
      </c>
      <c r="S180" s="40">
        <f>$H$2</f>
        <v>1.9599639845400536</v>
      </c>
      <c r="T180" s="41" t="e">
        <f>P180-(R180*S180)</f>
        <v>#DIV/0!</v>
      </c>
      <c r="U180" s="41" t="e">
        <f>P180+(R180*S180)</f>
        <v>#DIV/0!</v>
      </c>
      <c r="V180" s="42" t="e">
        <f t="shared" si="391"/>
        <v>#DIV/0!</v>
      </c>
      <c r="W180" s="43" t="e">
        <f t="shared" si="391"/>
        <v>#DIV/0!</v>
      </c>
      <c r="X180" s="44"/>
      <c r="Z180" s="45" t="e">
        <f>(N180-P181)^2</f>
        <v>#DIV/0!</v>
      </c>
      <c r="AA180" s="46" t="e">
        <f>M180*Z180</f>
        <v>#DIV/0!</v>
      </c>
      <c r="AB180" s="2">
        <v>1</v>
      </c>
      <c r="AC180" s="28"/>
      <c r="AD180" s="28"/>
      <c r="AE180" s="36" t="e">
        <f>M180^2</f>
        <v>#DIV/0!</v>
      </c>
      <c r="AF180" s="47"/>
      <c r="AG180" s="48" t="e">
        <f>AG181</f>
        <v>#DIV/0!</v>
      </c>
      <c r="AH180" s="48" t="e">
        <f>AH181</f>
        <v>#DIV/0!</v>
      </c>
      <c r="AI180" s="46" t="e">
        <f>1/M180</f>
        <v>#DIV/0!</v>
      </c>
      <c r="AJ180" s="49" t="e">
        <f>1/(AH180+AI180)</f>
        <v>#DIV/0!</v>
      </c>
      <c r="AK180" s="50" t="e">
        <f>AJ180/AJ181</f>
        <v>#DIV/0!</v>
      </c>
      <c r="AL180" s="51" t="e">
        <f>AJ180*N180</f>
        <v>#DIV/0!</v>
      </c>
      <c r="AM180" s="51" t="e">
        <f>AL180/AJ180</f>
        <v>#DIV/0!</v>
      </c>
      <c r="AN180" s="43" t="e">
        <f>EXP(AM180)</f>
        <v>#DIV/0!</v>
      </c>
      <c r="AO180" s="52" t="e">
        <f>1/AJ180</f>
        <v>#DIV/0!</v>
      </c>
      <c r="AP180" s="43" t="e">
        <f>SQRT(AO180)</f>
        <v>#DIV/0!</v>
      </c>
      <c r="AQ180" s="40">
        <f>$H$2</f>
        <v>1.9599639845400536</v>
      </c>
      <c r="AR180" s="41" t="e">
        <f>AM180-(AQ180*AP180)</f>
        <v>#DIV/0!</v>
      </c>
      <c r="AS180" s="41" t="e">
        <f>AM180+(1.96*AP180)</f>
        <v>#DIV/0!</v>
      </c>
      <c r="AT180" s="53" t="e">
        <f t="shared" si="392"/>
        <v>#DIV/0!</v>
      </c>
      <c r="AU180" s="53" t="e">
        <f t="shared" si="392"/>
        <v>#DIV/0!</v>
      </c>
      <c r="AV180" s="17"/>
      <c r="AX180" s="54"/>
      <c r="AY180" s="54">
        <v>1</v>
      </c>
      <c r="AZ180" s="55"/>
      <c r="BA180" s="55"/>
      <c r="BC180" s="28"/>
      <c r="BD180" s="28"/>
      <c r="BE180" s="2"/>
      <c r="BF180" s="2"/>
      <c r="BG180" s="2"/>
      <c r="BH180" s="2"/>
      <c r="BI180" s="2"/>
      <c r="BJ180" s="2"/>
      <c r="BK180" s="2"/>
      <c r="BL180" s="2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</row>
    <row r="181" spans="1:256" hidden="1">
      <c r="A181" s="547"/>
      <c r="B181" s="56">
        <f>COUNT(D179:D180)</f>
        <v>2</v>
      </c>
      <c r="C181" s="57">
        <f t="shared" ref="C181:H181" si="393">SUM(C179:C180)</f>
        <v>0</v>
      </c>
      <c r="D181" s="57">
        <f t="shared" si="393"/>
        <v>0</v>
      </c>
      <c r="E181" s="57">
        <f t="shared" si="393"/>
        <v>0</v>
      </c>
      <c r="F181" s="57">
        <f t="shared" si="393"/>
        <v>0</v>
      </c>
      <c r="G181" s="57">
        <f t="shared" si="393"/>
        <v>0</v>
      </c>
      <c r="H181" s="57">
        <f t="shared" si="393"/>
        <v>0</v>
      </c>
      <c r="I181" s="58"/>
      <c r="K181" s="59"/>
      <c r="L181" s="60"/>
      <c r="M181" s="61" t="e">
        <f>SUM(M179:M180)</f>
        <v>#DIV/0!</v>
      </c>
      <c r="N181" s="62"/>
      <c r="O181" s="63" t="e">
        <f>SUM(O179:O180)</f>
        <v>#DIV/0!</v>
      </c>
      <c r="P181" s="64" t="e">
        <f>O181/M181</f>
        <v>#DIV/0!</v>
      </c>
      <c r="Q181" s="497" t="e">
        <f>EXP(P181)</f>
        <v>#DIV/0!</v>
      </c>
      <c r="R181" s="497" t="e">
        <f>SQRT(1/M181)</f>
        <v>#DIV/0!</v>
      </c>
      <c r="S181" s="498">
        <f>$H$2</f>
        <v>1.9599639845400536</v>
      </c>
      <c r="T181" s="499" t="e">
        <f>P181-(R181*S181)</f>
        <v>#DIV/0!</v>
      </c>
      <c r="U181" s="499" t="e">
        <f>P181+(R181*S181)</f>
        <v>#DIV/0!</v>
      </c>
      <c r="V181" s="500" t="e">
        <f t="shared" si="391"/>
        <v>#DIV/0!</v>
      </c>
      <c r="W181" s="501" t="e">
        <f t="shared" si="391"/>
        <v>#DIV/0!</v>
      </c>
      <c r="X181" s="66"/>
      <c r="Y181" s="66"/>
      <c r="Z181" s="67"/>
      <c r="AA181" s="68" t="e">
        <f>SUM(AA179:AA180)</f>
        <v>#DIV/0!</v>
      </c>
      <c r="AB181" s="69">
        <f>SUM(AB179:AB180)</f>
        <v>2</v>
      </c>
      <c r="AC181" s="70" t="e">
        <f>AA181-(AB181-1)</f>
        <v>#DIV/0!</v>
      </c>
      <c r="AD181" s="61" t="e">
        <f>M181</f>
        <v>#DIV/0!</v>
      </c>
      <c r="AE181" s="61" t="e">
        <f>SUM(AE179:AE180)</f>
        <v>#DIV/0!</v>
      </c>
      <c r="AF181" s="71" t="e">
        <f>AE181/AD181</f>
        <v>#DIV/0!</v>
      </c>
      <c r="AG181" s="72" t="e">
        <f>AC181/(AD181-AF181)</f>
        <v>#DIV/0!</v>
      </c>
      <c r="AH181" s="72" t="e">
        <f>IF(AA181&lt;AB181-1,"0",AG181)</f>
        <v>#DIV/0!</v>
      </c>
      <c r="AI181" s="67"/>
      <c r="AJ181" s="61" t="e">
        <f>SUM(AJ179:AJ180)</f>
        <v>#DIV/0!</v>
      </c>
      <c r="AK181" s="73" t="e">
        <f>SUM(AK179:AK180)</f>
        <v>#DIV/0!</v>
      </c>
      <c r="AL181" s="70" t="e">
        <f>SUM(AL179:AL180)</f>
        <v>#DIV/0!</v>
      </c>
      <c r="AM181" s="70" t="e">
        <f>AL181/AJ181</f>
        <v>#DIV/0!</v>
      </c>
      <c r="AN181" s="502" t="e">
        <f>EXP(AM181)</f>
        <v>#DIV/0!</v>
      </c>
      <c r="AO181" s="74" t="e">
        <f>1/AJ181</f>
        <v>#DIV/0!</v>
      </c>
      <c r="AP181" s="75" t="e">
        <f>SQRT(AO181)</f>
        <v>#DIV/0!</v>
      </c>
      <c r="AQ181" s="40">
        <f>$H$2</f>
        <v>1.9599639845400536</v>
      </c>
      <c r="AR181" s="65" t="e">
        <f>AM181-(AQ181*AP181)</f>
        <v>#DIV/0!</v>
      </c>
      <c r="AS181" s="65" t="e">
        <f>AM181+(1.96*AP181)</f>
        <v>#DIV/0!</v>
      </c>
      <c r="AT181" s="503" t="e">
        <f t="shared" si="392"/>
        <v>#DIV/0!</v>
      </c>
      <c r="AU181" s="503" t="e">
        <f t="shared" si="392"/>
        <v>#DIV/0!</v>
      </c>
      <c r="AV181" s="76"/>
      <c r="AW181" s="77"/>
      <c r="AX181" s="78" t="e">
        <f>AA181</f>
        <v>#DIV/0!</v>
      </c>
      <c r="AY181" s="56">
        <f>SUM(AY179:AY180)</f>
        <v>2</v>
      </c>
      <c r="AZ181" s="79" t="e">
        <f>(AX181-(AY181-1))/AX181</f>
        <v>#DIV/0!</v>
      </c>
      <c r="BA181" s="80" t="e">
        <f>IF(AA181&lt;AB181-1,"0%",AZ181)</f>
        <v>#DIV/0!</v>
      </c>
      <c r="BB181" s="77"/>
      <c r="BC181" s="63" t="e">
        <f>AX181/(AY181-1)</f>
        <v>#DIV/0!</v>
      </c>
      <c r="BD181" s="81" t="e">
        <f>LN(BC181)</f>
        <v>#DIV/0!</v>
      </c>
      <c r="BE181" s="63" t="e">
        <f>LN(AX181)</f>
        <v>#DIV/0!</v>
      </c>
      <c r="BF181" s="63">
        <f>LN(AY181-1)</f>
        <v>0</v>
      </c>
      <c r="BG181" s="63" t="e">
        <f>SQRT(2*AX181)</f>
        <v>#DIV/0!</v>
      </c>
      <c r="BH181" s="63">
        <f>SQRT(2*AY181-3)</f>
        <v>1</v>
      </c>
      <c r="BI181" s="63">
        <f>2*(AY181-2)</f>
        <v>0</v>
      </c>
      <c r="BJ181" s="63">
        <f>3*(AY181-2)^2</f>
        <v>0</v>
      </c>
      <c r="BK181" s="63" t="e">
        <f>1/BI181</f>
        <v>#DIV/0!</v>
      </c>
      <c r="BL181" s="82" t="e">
        <f>1/BJ181</f>
        <v>#DIV/0!</v>
      </c>
      <c r="BM181" s="82" t="e">
        <f>SQRT(BK181*(1-BL181))</f>
        <v>#DIV/0!</v>
      </c>
      <c r="BN181" s="83" t="e">
        <f>0.5*(BE181-BF181)/(BG181-BH181)</f>
        <v>#DIV/0!</v>
      </c>
      <c r="BO181" s="83" t="e">
        <f>IF(AA181&lt;=AB181,BM181,BN181)</f>
        <v>#DIV/0!</v>
      </c>
      <c r="BP181" s="70" t="e">
        <f>BD181-(1.96*BO181)</f>
        <v>#DIV/0!</v>
      </c>
      <c r="BQ181" s="70" t="e">
        <f>BD181+(1.96*BO181)</f>
        <v>#DIV/0!</v>
      </c>
      <c r="BR181" s="70"/>
      <c r="BS181" s="81" t="e">
        <f>EXP(BP181)</f>
        <v>#DIV/0!</v>
      </c>
      <c r="BT181" s="81" t="e">
        <f>EXP(BQ181)</f>
        <v>#DIV/0!</v>
      </c>
      <c r="BU181" s="84" t="e">
        <f>BA181</f>
        <v>#DIV/0!</v>
      </c>
      <c r="BV181" s="84" t="e">
        <f>(BS181-1)/BS181</f>
        <v>#DIV/0!</v>
      </c>
      <c r="BW181" s="84" t="e">
        <f>(BT181-1)/BT181</f>
        <v>#DIV/0!</v>
      </c>
    </row>
    <row r="182" spans="1:256" ht="13.5" hidden="1" thickBot="1">
      <c r="A182" s="424"/>
      <c r="C182" s="85"/>
      <c r="D182" s="85"/>
      <c r="E182" s="85"/>
      <c r="F182" s="85"/>
      <c r="G182" s="85"/>
      <c r="H182" s="85"/>
      <c r="I182" s="86"/>
      <c r="R182" s="87"/>
      <c r="S182" s="87"/>
      <c r="T182" s="87"/>
      <c r="U182" s="87"/>
      <c r="V182" s="87"/>
      <c r="W182" s="87"/>
      <c r="X182" s="87"/>
      <c r="AB182" s="88"/>
      <c r="AC182" s="89"/>
      <c r="AD182" s="90"/>
      <c r="AE182" s="89"/>
      <c r="AF182" s="91"/>
      <c r="AG182" s="91"/>
      <c r="AH182" s="91"/>
      <c r="AI182" s="91"/>
      <c r="AT182" s="92"/>
      <c r="AU182" s="92"/>
      <c r="AV182" s="92"/>
      <c r="AX182" s="5" t="s">
        <v>56</v>
      </c>
      <c r="BG182" s="11"/>
      <c r="BN182" s="89" t="s">
        <v>57</v>
      </c>
      <c r="BT182" s="93" t="s">
        <v>58</v>
      </c>
      <c r="BU182" s="504" t="e">
        <f>BU181</f>
        <v>#DIV/0!</v>
      </c>
      <c r="BV182" s="504" t="e">
        <f>IF(BV181&lt;0,"0%",BV181)</f>
        <v>#DIV/0!</v>
      </c>
      <c r="BW182" s="505" t="e">
        <f>IF(BW181&lt;0,"0%",BW181)</f>
        <v>#DIV/0!</v>
      </c>
    </row>
    <row r="183" spans="1:256" ht="27.75" hidden="1" customHeight="1" thickBot="1">
      <c r="A183" s="547"/>
      <c r="B183" s="5"/>
      <c r="C183" s="94"/>
      <c r="D183" s="94"/>
      <c r="E183" s="94"/>
      <c r="F183" s="94"/>
      <c r="G183" s="94"/>
      <c r="H183" s="94"/>
      <c r="I183" s="95"/>
      <c r="J183" s="5"/>
      <c r="K183" s="5"/>
      <c r="L183" s="5"/>
      <c r="R183" s="96"/>
      <c r="S183" s="96"/>
      <c r="T183" s="96"/>
      <c r="U183" s="96"/>
      <c r="V183" s="96"/>
      <c r="W183" s="96"/>
      <c r="X183" s="96"/>
      <c r="AF183" s="1"/>
      <c r="AI183" s="11"/>
      <c r="AJ183" s="97"/>
      <c r="AK183" s="97"/>
      <c r="AL183" s="98"/>
      <c r="AM183" s="99"/>
      <c r="AO183" s="100" t="s">
        <v>59</v>
      </c>
      <c r="AP183" s="101" t="e">
        <f>TINV((1-$H$1),(AB181-2))</f>
        <v>#NUM!</v>
      </c>
      <c r="AR183" s="506" t="s">
        <v>60</v>
      </c>
      <c r="AS183" s="102">
        <f>$H$1</f>
        <v>0.95</v>
      </c>
      <c r="AT183" s="507" t="e">
        <f>EXP(AM181-AP183*SQRT((1/AD181)+AH181))</f>
        <v>#DIV/0!</v>
      </c>
      <c r="AU183" s="507" t="e">
        <f>EXP(AM181+AP183*SQRT((1/AD181)+AH181))</f>
        <v>#DIV/0!</v>
      </c>
      <c r="AV183" s="17"/>
      <c r="AX183" s="103" t="e">
        <f>_xlfn.CHISQ.DIST.RT(AX181,AY181-1)</f>
        <v>#DIV/0!</v>
      </c>
      <c r="AY183" s="104" t="e">
        <f>IF(AX183&lt;0.05,"heterogeneidad","homogeneidad")</f>
        <v>#DIV/0!</v>
      </c>
      <c r="BF183" s="105"/>
      <c r="BG183" s="11"/>
      <c r="BH183" s="11"/>
      <c r="BJ183" s="44"/>
      <c r="BL183" s="11"/>
      <c r="BM183" s="106"/>
      <c r="BQ183" s="11"/>
    </row>
    <row r="184" spans="1:256" ht="14.5" hidden="1">
      <c r="A184" s="424"/>
      <c r="C184" s="85"/>
      <c r="D184" s="85"/>
      <c r="E184" s="85"/>
      <c r="F184" s="85"/>
      <c r="G184" s="85"/>
      <c r="H184" s="85"/>
      <c r="I184" s="86"/>
      <c r="R184" s="96"/>
      <c r="S184" s="96"/>
      <c r="T184" s="96"/>
      <c r="U184" s="96"/>
      <c r="V184" s="96"/>
      <c r="W184" s="96"/>
      <c r="X184" s="96"/>
      <c r="AF184" s="1"/>
      <c r="AI184" s="11"/>
      <c r="AJ184" s="97"/>
      <c r="AK184" s="97"/>
      <c r="AL184" s="98"/>
      <c r="AM184" s="99"/>
      <c r="AN184" s="107"/>
      <c r="AO184" s="108"/>
      <c r="AP184" s="14"/>
      <c r="AS184" s="109"/>
      <c r="AT184" s="17"/>
      <c r="AU184" s="17"/>
      <c r="AV184" s="17"/>
      <c r="BF184" s="105"/>
      <c r="BG184" s="11"/>
      <c r="BH184" s="11"/>
      <c r="BJ184" s="44"/>
      <c r="BL184" s="11"/>
      <c r="BM184" s="110"/>
      <c r="BQ184" s="11"/>
    </row>
    <row r="185" spans="1:256">
      <c r="A185" s="424"/>
      <c r="C185" s="85"/>
      <c r="D185" s="85"/>
      <c r="E185" s="85"/>
      <c r="F185" s="85"/>
      <c r="G185" s="85"/>
      <c r="H185" s="85"/>
      <c r="I185" s="86"/>
      <c r="M185" s="114"/>
      <c r="AE185" s="115"/>
      <c r="AF185" s="1"/>
    </row>
    <row r="186" spans="1:256">
      <c r="C186" s="85"/>
      <c r="D186" s="85"/>
      <c r="E186" s="85"/>
      <c r="F186" s="85"/>
      <c r="G186" s="85"/>
      <c r="H186" s="85"/>
      <c r="I186" s="86"/>
    </row>
    <row r="187" spans="1:256">
      <c r="C187" s="85"/>
      <c r="D187" s="85"/>
      <c r="E187" s="85"/>
      <c r="F187" s="85"/>
      <c r="G187" s="85"/>
      <c r="H187" s="85"/>
      <c r="I187" s="86"/>
    </row>
    <row r="188" spans="1:256">
      <c r="C188" s="85"/>
      <c r="D188" s="85"/>
      <c r="E188" s="85"/>
      <c r="F188" s="85"/>
      <c r="G188" s="85"/>
      <c r="H188" s="85"/>
      <c r="I188" s="86"/>
    </row>
    <row r="189" spans="1:256">
      <c r="C189" s="85"/>
      <c r="D189" s="85"/>
      <c r="E189" s="85"/>
      <c r="F189" s="85"/>
      <c r="G189" s="85"/>
      <c r="H189" s="85"/>
      <c r="I189" s="86"/>
    </row>
    <row r="190" spans="1:256">
      <c r="C190" s="85"/>
      <c r="D190" s="85"/>
      <c r="E190" s="85"/>
      <c r="F190" s="85"/>
      <c r="G190" s="85"/>
      <c r="H190" s="85"/>
      <c r="I190" s="86"/>
    </row>
    <row r="191" spans="1:256">
      <c r="C191" s="85"/>
      <c r="D191" s="85"/>
      <c r="E191" s="85"/>
      <c r="F191" s="85"/>
      <c r="G191" s="85"/>
      <c r="H191" s="85"/>
      <c r="I191" s="86"/>
    </row>
    <row r="192" spans="1:256">
      <c r="C192" s="85"/>
      <c r="D192" s="85"/>
      <c r="E192" s="85"/>
      <c r="F192" s="85"/>
      <c r="G192" s="85"/>
      <c r="H192" s="85"/>
      <c r="I192" s="86"/>
    </row>
    <row r="193" spans="3:9">
      <c r="C193" s="85"/>
      <c r="D193" s="85"/>
      <c r="E193" s="85"/>
      <c r="F193" s="85"/>
      <c r="G193" s="85"/>
      <c r="H193" s="85"/>
      <c r="I193" s="86"/>
    </row>
    <row r="194" spans="3:9">
      <c r="C194" s="85"/>
      <c r="D194" s="85"/>
      <c r="E194" s="85"/>
      <c r="F194" s="85"/>
      <c r="G194" s="85"/>
      <c r="H194" s="85"/>
      <c r="I194" s="86"/>
    </row>
    <row r="195" spans="3:9">
      <c r="C195" s="85"/>
      <c r="D195" s="85"/>
      <c r="E195" s="85"/>
      <c r="F195" s="85"/>
      <c r="G195" s="85"/>
      <c r="H195" s="85"/>
      <c r="I195" s="86"/>
    </row>
    <row r="196" spans="3:9">
      <c r="C196" s="85"/>
      <c r="D196" s="85"/>
      <c r="E196" s="85"/>
      <c r="F196" s="85"/>
      <c r="G196" s="85"/>
      <c r="H196" s="85"/>
      <c r="I196" s="86"/>
    </row>
    <row r="197" spans="3:9">
      <c r="C197" s="85"/>
      <c r="D197" s="85"/>
      <c r="E197" s="85"/>
      <c r="F197" s="85"/>
      <c r="G197" s="85"/>
      <c r="H197" s="85"/>
      <c r="I197" s="86"/>
    </row>
    <row r="198" spans="3:9">
      <c r="C198" s="85"/>
      <c r="D198" s="85"/>
      <c r="E198" s="85"/>
      <c r="F198" s="85"/>
      <c r="G198" s="85"/>
      <c r="H198" s="85"/>
      <c r="I198" s="86"/>
    </row>
    <row r="199" spans="3:9">
      <c r="C199" s="85"/>
      <c r="D199" s="85"/>
      <c r="E199" s="85"/>
      <c r="F199" s="85"/>
      <c r="G199" s="85"/>
      <c r="H199" s="85"/>
      <c r="I199" s="86"/>
    </row>
    <row r="200" spans="3:9">
      <c r="C200" s="85"/>
      <c r="D200" s="85"/>
      <c r="E200" s="85"/>
      <c r="F200" s="85"/>
      <c r="G200" s="85"/>
      <c r="H200" s="85"/>
      <c r="I200" s="86"/>
    </row>
    <row r="201" spans="3:9">
      <c r="C201" s="85"/>
      <c r="D201" s="85"/>
      <c r="E201" s="85"/>
      <c r="F201" s="85"/>
      <c r="G201" s="85"/>
      <c r="H201" s="85"/>
      <c r="I201" s="86"/>
    </row>
    <row r="202" spans="3:9">
      <c r="C202" s="85"/>
      <c r="D202" s="85"/>
      <c r="E202" s="85"/>
      <c r="F202" s="85"/>
      <c r="G202" s="85"/>
      <c r="H202" s="85"/>
      <c r="I202" s="86"/>
    </row>
    <row r="203" spans="3:9">
      <c r="C203" s="85"/>
      <c r="D203" s="85"/>
      <c r="E203" s="85"/>
      <c r="F203" s="85"/>
      <c r="G203" s="85"/>
      <c r="H203" s="85"/>
      <c r="I203" s="86"/>
    </row>
    <row r="204" spans="3:9">
      <c r="C204" s="85"/>
      <c r="D204" s="85"/>
      <c r="E204" s="85"/>
      <c r="F204" s="85"/>
      <c r="G204" s="85"/>
      <c r="H204" s="85"/>
      <c r="I204" s="86"/>
    </row>
    <row r="205" spans="3:9">
      <c r="C205" s="85"/>
      <c r="D205" s="85"/>
      <c r="E205" s="85"/>
      <c r="F205" s="85"/>
      <c r="G205" s="85"/>
      <c r="H205" s="85"/>
      <c r="I205" s="86"/>
    </row>
    <row r="206" spans="3:9">
      <c r="C206" s="85"/>
      <c r="D206" s="85"/>
      <c r="E206" s="85"/>
      <c r="F206" s="85"/>
      <c r="G206" s="85"/>
      <c r="H206" s="85"/>
      <c r="I206" s="86"/>
    </row>
    <row r="207" spans="3:9">
      <c r="C207" s="85"/>
      <c r="D207" s="85"/>
      <c r="E207" s="85"/>
      <c r="F207" s="85"/>
      <c r="G207" s="85"/>
      <c r="H207" s="85"/>
      <c r="I207" s="86"/>
    </row>
    <row r="208" spans="3:9">
      <c r="C208" s="85"/>
      <c r="D208" s="85"/>
      <c r="E208" s="85"/>
      <c r="F208" s="85"/>
      <c r="G208" s="85"/>
      <c r="H208" s="85"/>
      <c r="I208" s="86"/>
    </row>
    <row r="209" spans="3:9">
      <c r="C209" s="85"/>
      <c r="D209" s="85"/>
      <c r="E209" s="85"/>
      <c r="F209" s="85"/>
      <c r="G209" s="85"/>
      <c r="H209" s="85"/>
      <c r="I209" s="86"/>
    </row>
    <row r="210" spans="3:9">
      <c r="C210" s="85"/>
      <c r="D210" s="85"/>
      <c r="E210" s="85"/>
      <c r="F210" s="85"/>
      <c r="G210" s="85"/>
      <c r="H210" s="85"/>
      <c r="I210" s="86"/>
    </row>
    <row r="211" spans="3:9">
      <c r="C211" s="85"/>
      <c r="D211" s="85"/>
      <c r="E211" s="85"/>
      <c r="F211" s="85"/>
      <c r="G211" s="85"/>
      <c r="H211" s="85"/>
      <c r="I211" s="86"/>
    </row>
    <row r="212" spans="3:9">
      <c r="C212" s="85"/>
      <c r="D212" s="85"/>
      <c r="E212" s="85"/>
      <c r="F212" s="85"/>
      <c r="G212" s="85"/>
      <c r="H212" s="85"/>
      <c r="I212" s="86"/>
    </row>
    <row r="213" spans="3:9">
      <c r="C213" s="85"/>
      <c r="D213" s="85"/>
      <c r="E213" s="85"/>
      <c r="F213" s="85"/>
      <c r="G213" s="85"/>
      <c r="H213" s="85"/>
      <c r="I213" s="86"/>
    </row>
    <row r="214" spans="3:9">
      <c r="C214" s="85"/>
      <c r="D214" s="85"/>
      <c r="E214" s="85"/>
      <c r="F214" s="85"/>
      <c r="G214" s="85"/>
      <c r="H214" s="85"/>
      <c r="I214" s="86"/>
    </row>
    <row r="215" spans="3:9">
      <c r="C215" s="85"/>
      <c r="D215" s="85"/>
      <c r="E215" s="85"/>
      <c r="F215" s="85"/>
      <c r="G215" s="85"/>
      <c r="H215" s="85"/>
      <c r="I215" s="86"/>
    </row>
    <row r="216" spans="3:9">
      <c r="C216" s="85"/>
      <c r="D216" s="85"/>
      <c r="E216" s="85"/>
      <c r="F216" s="85"/>
      <c r="G216" s="85"/>
      <c r="H216" s="85"/>
      <c r="I216" s="86"/>
    </row>
    <row r="217" spans="3:9">
      <c r="C217" s="85"/>
      <c r="D217" s="85"/>
      <c r="E217" s="85"/>
      <c r="F217" s="85"/>
      <c r="G217" s="85"/>
      <c r="H217" s="85"/>
      <c r="I217" s="86"/>
    </row>
    <row r="218" spans="3:9">
      <c r="C218" s="85"/>
      <c r="D218" s="85"/>
      <c r="E218" s="85"/>
      <c r="F218" s="85"/>
      <c r="G218" s="85"/>
      <c r="H218" s="85"/>
      <c r="I218" s="86"/>
    </row>
    <row r="219" spans="3:9">
      <c r="C219" s="85"/>
      <c r="D219" s="85"/>
      <c r="E219" s="85"/>
      <c r="F219" s="85"/>
      <c r="G219" s="85"/>
      <c r="H219" s="85"/>
      <c r="I219" s="86"/>
    </row>
    <row r="220" spans="3:9">
      <c r="C220" s="85"/>
      <c r="D220" s="85"/>
      <c r="E220" s="85"/>
      <c r="F220" s="85"/>
      <c r="G220" s="85"/>
      <c r="H220" s="85"/>
      <c r="I220" s="86"/>
    </row>
    <row r="221" spans="3:9">
      <c r="C221" s="85"/>
      <c r="D221" s="85"/>
      <c r="E221" s="85"/>
      <c r="F221" s="85"/>
      <c r="G221" s="85"/>
      <c r="H221" s="85"/>
      <c r="I221" s="86"/>
    </row>
    <row r="222" spans="3:9">
      <c r="C222" s="85"/>
      <c r="D222" s="85"/>
      <c r="E222" s="85"/>
      <c r="F222" s="85"/>
      <c r="G222" s="85"/>
      <c r="H222" s="85"/>
      <c r="I222" s="86"/>
    </row>
    <row r="223" spans="3:9">
      <c r="C223" s="85"/>
      <c r="D223" s="85"/>
      <c r="E223" s="85"/>
      <c r="F223" s="85"/>
      <c r="G223" s="85"/>
      <c r="H223" s="85"/>
      <c r="I223" s="86"/>
    </row>
    <row r="224" spans="3:9">
      <c r="C224" s="85"/>
      <c r="D224" s="85"/>
      <c r="E224" s="85"/>
      <c r="F224" s="85"/>
      <c r="G224" s="85"/>
      <c r="H224" s="85"/>
      <c r="I224" s="86"/>
    </row>
    <row r="225" spans="3:9">
      <c r="C225" s="85"/>
      <c r="D225" s="85"/>
      <c r="E225" s="85"/>
      <c r="F225" s="85"/>
      <c r="G225" s="85"/>
      <c r="H225" s="85"/>
      <c r="I225" s="86"/>
    </row>
    <row r="226" spans="3:9">
      <c r="C226" s="85"/>
      <c r="D226" s="85"/>
      <c r="E226" s="85"/>
      <c r="F226" s="85"/>
      <c r="G226" s="85"/>
      <c r="H226" s="85"/>
      <c r="I226" s="86"/>
    </row>
    <row r="227" spans="3:9">
      <c r="C227" s="85"/>
      <c r="D227" s="85"/>
      <c r="E227" s="85"/>
      <c r="F227" s="85"/>
      <c r="G227" s="85"/>
      <c r="H227" s="85"/>
      <c r="I227" s="86"/>
    </row>
    <row r="228" spans="3:9">
      <c r="C228" s="85"/>
      <c r="D228" s="85"/>
      <c r="E228" s="85"/>
      <c r="F228" s="85"/>
      <c r="G228" s="85"/>
      <c r="H228" s="85"/>
      <c r="I228" s="86"/>
    </row>
    <row r="229" spans="3:9">
      <c r="C229" s="85"/>
      <c r="D229" s="85"/>
      <c r="E229" s="85"/>
      <c r="F229" s="85"/>
      <c r="G229" s="85"/>
      <c r="H229" s="85"/>
      <c r="I229" s="86"/>
    </row>
    <row r="230" spans="3:9">
      <c r="C230" s="85"/>
      <c r="D230" s="85"/>
      <c r="E230" s="85"/>
      <c r="F230" s="85"/>
      <c r="G230" s="85"/>
      <c r="H230" s="85"/>
      <c r="I230" s="86"/>
    </row>
    <row r="231" spans="3:9">
      <c r="C231" s="85"/>
      <c r="D231" s="85"/>
      <c r="E231" s="85"/>
      <c r="F231" s="85"/>
      <c r="G231" s="85"/>
      <c r="H231" s="85"/>
      <c r="I231" s="86"/>
    </row>
    <row r="232" spans="3:9">
      <c r="C232" s="85"/>
      <c r="D232" s="85"/>
      <c r="E232" s="85"/>
      <c r="F232" s="85"/>
      <c r="G232" s="85"/>
      <c r="H232" s="85"/>
      <c r="I232" s="86"/>
    </row>
    <row r="233" spans="3:9">
      <c r="C233" s="85"/>
      <c r="D233" s="85"/>
      <c r="E233" s="85"/>
      <c r="F233" s="85"/>
      <c r="G233" s="85"/>
      <c r="H233" s="85"/>
      <c r="I233" s="86"/>
    </row>
    <row r="234" spans="3:9">
      <c r="C234" s="85"/>
      <c r="D234" s="85"/>
      <c r="E234" s="85"/>
      <c r="F234" s="85"/>
      <c r="G234" s="85"/>
      <c r="H234" s="85"/>
      <c r="I234" s="86"/>
    </row>
    <row r="235" spans="3:9">
      <c r="C235" s="85"/>
      <c r="D235" s="85"/>
      <c r="E235" s="85"/>
      <c r="F235" s="85"/>
      <c r="G235" s="85"/>
      <c r="H235" s="85"/>
      <c r="I235" s="86"/>
    </row>
    <row r="236" spans="3:9">
      <c r="C236" s="85"/>
      <c r="D236" s="85"/>
      <c r="E236" s="85"/>
      <c r="F236" s="85"/>
      <c r="G236" s="85"/>
      <c r="H236" s="85"/>
      <c r="I236" s="86"/>
    </row>
    <row r="237" spans="3:9">
      <c r="C237" s="85"/>
      <c r="D237" s="85"/>
      <c r="E237" s="85"/>
      <c r="F237" s="85"/>
      <c r="G237" s="85"/>
      <c r="H237" s="85"/>
      <c r="I237" s="86"/>
    </row>
    <row r="238" spans="3:9">
      <c r="C238" s="85"/>
      <c r="D238" s="85"/>
      <c r="E238" s="85"/>
      <c r="F238" s="85"/>
      <c r="G238" s="85"/>
      <c r="H238" s="85"/>
      <c r="I238" s="86"/>
    </row>
    <row r="239" spans="3:9">
      <c r="C239" s="85"/>
      <c r="D239" s="85"/>
      <c r="E239" s="85"/>
      <c r="F239" s="85"/>
      <c r="G239" s="85"/>
      <c r="H239" s="85"/>
      <c r="I239" s="86"/>
    </row>
    <row r="240" spans="3:9">
      <c r="C240" s="85"/>
      <c r="D240" s="85"/>
      <c r="E240" s="85"/>
      <c r="F240" s="85"/>
      <c r="G240" s="85"/>
      <c r="H240" s="85"/>
      <c r="I240" s="86"/>
    </row>
    <row r="241" spans="3:9">
      <c r="C241" s="85"/>
      <c r="D241" s="85"/>
      <c r="E241" s="85"/>
      <c r="F241" s="85"/>
      <c r="G241" s="85"/>
      <c r="H241" s="85"/>
      <c r="I241" s="86"/>
    </row>
    <row r="242" spans="3:9">
      <c r="C242" s="85"/>
      <c r="D242" s="85"/>
      <c r="E242" s="85"/>
      <c r="F242" s="85"/>
      <c r="G242" s="85"/>
      <c r="H242" s="85"/>
      <c r="I242" s="86"/>
    </row>
    <row r="243" spans="3:9">
      <c r="C243" s="86"/>
      <c r="D243" s="86"/>
      <c r="E243" s="86"/>
      <c r="F243" s="86"/>
      <c r="G243" s="86"/>
      <c r="H243" s="86"/>
      <c r="I243" s="86"/>
    </row>
    <row r="244" spans="3:9">
      <c r="C244" s="86"/>
      <c r="D244" s="86"/>
      <c r="E244" s="86"/>
      <c r="F244" s="86"/>
      <c r="G244" s="86"/>
      <c r="H244" s="86"/>
      <c r="I244" s="86"/>
    </row>
    <row r="245" spans="3:9">
      <c r="C245" s="86"/>
      <c r="D245" s="86"/>
      <c r="E245" s="86"/>
      <c r="F245" s="86"/>
      <c r="G245" s="86"/>
      <c r="H245" s="86"/>
      <c r="I245" s="86"/>
    </row>
    <row r="246" spans="3:9">
      <c r="C246" s="86"/>
      <c r="D246" s="86"/>
      <c r="E246" s="86"/>
      <c r="F246" s="86"/>
      <c r="G246" s="86"/>
      <c r="H246" s="86"/>
      <c r="I246" s="86"/>
    </row>
    <row r="247" spans="3:9">
      <c r="C247" s="86"/>
      <c r="D247" s="86"/>
      <c r="E247" s="86"/>
      <c r="F247" s="86"/>
      <c r="G247" s="86"/>
      <c r="H247" s="86"/>
      <c r="I247" s="86"/>
    </row>
    <row r="248" spans="3:9">
      <c r="C248" s="86"/>
      <c r="D248" s="86"/>
      <c r="E248" s="86"/>
      <c r="F248" s="86"/>
      <c r="G248" s="86"/>
      <c r="H248" s="86"/>
      <c r="I248" s="86"/>
    </row>
    <row r="249" spans="3:9">
      <c r="C249" s="86"/>
      <c r="D249" s="86"/>
      <c r="E249" s="86"/>
      <c r="F249" s="86"/>
      <c r="G249" s="86"/>
      <c r="H249" s="86"/>
      <c r="I249" s="86"/>
    </row>
    <row r="250" spans="3:9">
      <c r="C250" s="86"/>
      <c r="D250" s="86"/>
      <c r="E250" s="86"/>
      <c r="F250" s="86"/>
      <c r="G250" s="86"/>
      <c r="H250" s="86"/>
      <c r="I250" s="86"/>
    </row>
    <row r="251" spans="3:9">
      <c r="C251" s="86"/>
      <c r="D251" s="86"/>
      <c r="E251" s="86"/>
      <c r="F251" s="86"/>
      <c r="G251" s="86"/>
      <c r="H251" s="86"/>
      <c r="I251" s="86"/>
    </row>
    <row r="252" spans="3:9">
      <c r="C252" s="86"/>
      <c r="D252" s="86"/>
      <c r="E252" s="86"/>
      <c r="F252" s="86"/>
      <c r="G252" s="86"/>
      <c r="H252" s="86"/>
      <c r="I252" s="86"/>
    </row>
    <row r="253" spans="3:9">
      <c r="C253" s="86"/>
      <c r="D253" s="86"/>
      <c r="E253" s="86"/>
      <c r="F253" s="86"/>
      <c r="G253" s="86"/>
      <c r="H253" s="86"/>
      <c r="I253" s="86"/>
    </row>
    <row r="254" spans="3:9">
      <c r="C254" s="86"/>
      <c r="D254" s="86"/>
      <c r="E254" s="86"/>
      <c r="F254" s="86"/>
      <c r="G254" s="86"/>
      <c r="H254" s="86"/>
      <c r="I254" s="86"/>
    </row>
    <row r="255" spans="3:9">
      <c r="C255" s="86"/>
      <c r="D255" s="86"/>
      <c r="E255" s="86"/>
      <c r="F255" s="86"/>
      <c r="G255" s="86"/>
      <c r="H255" s="86"/>
      <c r="I255" s="86"/>
    </row>
    <row r="256" spans="3:9">
      <c r="C256" s="86"/>
      <c r="D256" s="86"/>
      <c r="E256" s="86"/>
      <c r="F256" s="86"/>
      <c r="G256" s="86"/>
      <c r="H256" s="86"/>
      <c r="I256" s="86"/>
    </row>
    <row r="257" spans="3:9">
      <c r="C257" s="86"/>
      <c r="D257" s="86"/>
      <c r="E257" s="86"/>
      <c r="F257" s="86"/>
      <c r="G257" s="86"/>
      <c r="H257" s="86"/>
      <c r="I257" s="86"/>
    </row>
    <row r="258" spans="3:9">
      <c r="C258" s="86"/>
      <c r="D258" s="86"/>
      <c r="E258" s="86"/>
      <c r="F258" s="86"/>
      <c r="G258" s="86"/>
      <c r="H258" s="86"/>
      <c r="I258" s="86"/>
    </row>
    <row r="259" spans="3:9">
      <c r="C259" s="86"/>
      <c r="D259" s="86"/>
      <c r="E259" s="86"/>
      <c r="F259" s="86"/>
      <c r="G259" s="86"/>
      <c r="H259" s="86"/>
      <c r="I259" s="86"/>
    </row>
    <row r="260" spans="3:9">
      <c r="C260" s="86"/>
      <c r="D260" s="86"/>
      <c r="E260" s="86"/>
      <c r="F260" s="86"/>
      <c r="G260" s="86"/>
      <c r="H260" s="86"/>
      <c r="I260" s="86"/>
    </row>
    <row r="261" spans="3:9">
      <c r="C261" s="86"/>
      <c r="D261" s="86"/>
      <c r="E261" s="86"/>
      <c r="F261" s="86"/>
      <c r="G261" s="86"/>
      <c r="H261" s="86"/>
      <c r="I261" s="86"/>
    </row>
    <row r="262" spans="3:9">
      <c r="C262" s="86"/>
      <c r="D262" s="86"/>
      <c r="E262" s="86"/>
      <c r="F262" s="86"/>
      <c r="G262" s="86"/>
      <c r="H262" s="86"/>
      <c r="I262" s="86"/>
    </row>
    <row r="263" spans="3:9">
      <c r="C263" s="86"/>
      <c r="D263" s="86"/>
      <c r="E263" s="86"/>
      <c r="F263" s="86"/>
      <c r="G263" s="86"/>
      <c r="H263" s="86"/>
      <c r="I263" s="86"/>
    </row>
    <row r="264" spans="3:9">
      <c r="C264" s="86"/>
      <c r="D264" s="86"/>
      <c r="E264" s="86"/>
      <c r="F264" s="86"/>
      <c r="G264" s="86"/>
      <c r="H264" s="86"/>
      <c r="I264" s="86"/>
    </row>
    <row r="265" spans="3:9">
      <c r="C265" s="86"/>
      <c r="D265" s="86"/>
      <c r="E265" s="86"/>
      <c r="F265" s="86"/>
      <c r="G265" s="86"/>
      <c r="H265" s="86"/>
      <c r="I265" s="86"/>
    </row>
    <row r="266" spans="3:9">
      <c r="C266" s="86"/>
      <c r="D266" s="86"/>
      <c r="E266" s="86"/>
      <c r="F266" s="86"/>
      <c r="G266" s="86"/>
      <c r="H266" s="86"/>
      <c r="I266" s="86"/>
    </row>
    <row r="267" spans="3:9">
      <c r="C267" s="86"/>
      <c r="D267" s="86"/>
      <c r="E267" s="86"/>
      <c r="F267" s="86"/>
      <c r="G267" s="86"/>
      <c r="H267" s="86"/>
      <c r="I267" s="86"/>
    </row>
    <row r="268" spans="3:9">
      <c r="C268" s="86"/>
      <c r="D268" s="86"/>
      <c r="E268" s="86"/>
      <c r="F268" s="86"/>
      <c r="G268" s="86"/>
      <c r="H268" s="86"/>
      <c r="I268" s="86"/>
    </row>
    <row r="269" spans="3:9">
      <c r="C269" s="86"/>
      <c r="D269" s="86"/>
      <c r="E269" s="86"/>
      <c r="F269" s="86"/>
      <c r="G269" s="86"/>
      <c r="H269" s="86"/>
      <c r="I269" s="86"/>
    </row>
    <row r="270" spans="3:9">
      <c r="C270" s="86"/>
      <c r="D270" s="86"/>
      <c r="E270" s="86"/>
      <c r="F270" s="86"/>
      <c r="G270" s="86"/>
      <c r="H270" s="86"/>
      <c r="I270" s="86"/>
    </row>
    <row r="271" spans="3:9">
      <c r="C271" s="86"/>
      <c r="D271" s="86"/>
      <c r="E271" s="86"/>
      <c r="F271" s="86"/>
      <c r="G271" s="86"/>
      <c r="H271" s="86"/>
      <c r="I271" s="86"/>
    </row>
    <row r="272" spans="3:9">
      <c r="C272" s="86"/>
      <c r="D272" s="86"/>
      <c r="E272" s="86"/>
      <c r="F272" s="86"/>
      <c r="G272" s="86"/>
      <c r="H272" s="86"/>
      <c r="I272" s="86"/>
    </row>
    <row r="273" spans="3:9">
      <c r="C273" s="86"/>
      <c r="D273" s="86"/>
      <c r="E273" s="86"/>
      <c r="F273" s="86"/>
      <c r="G273" s="86"/>
      <c r="H273" s="86"/>
      <c r="I273" s="86"/>
    </row>
    <row r="274" spans="3:9">
      <c r="C274" s="86"/>
      <c r="D274" s="86"/>
      <c r="E274" s="86"/>
      <c r="F274" s="86"/>
      <c r="G274" s="86"/>
      <c r="H274" s="86"/>
      <c r="I274" s="86"/>
    </row>
    <row r="275" spans="3:9">
      <c r="C275" s="86"/>
      <c r="D275" s="86"/>
      <c r="E275" s="86"/>
      <c r="F275" s="86"/>
      <c r="G275" s="86"/>
      <c r="H275" s="86"/>
      <c r="I275" s="86"/>
    </row>
    <row r="276" spans="3:9">
      <c r="C276" s="86"/>
      <c r="D276" s="86"/>
      <c r="E276" s="86"/>
      <c r="F276" s="86"/>
      <c r="G276" s="86"/>
      <c r="H276" s="86"/>
      <c r="I276" s="86"/>
    </row>
    <row r="277" spans="3:9">
      <c r="C277" s="86"/>
      <c r="D277" s="86"/>
      <c r="E277" s="86"/>
      <c r="F277" s="86"/>
      <c r="G277" s="86"/>
      <c r="H277" s="86"/>
      <c r="I277" s="86"/>
    </row>
    <row r="278" spans="3:9">
      <c r="C278" s="86"/>
      <c r="D278" s="86"/>
      <c r="E278" s="86"/>
      <c r="F278" s="86"/>
      <c r="G278" s="86"/>
      <c r="H278" s="86"/>
      <c r="I278" s="86"/>
    </row>
    <row r="279" spans="3:9">
      <c r="C279" s="86"/>
      <c r="D279" s="86"/>
      <c r="E279" s="86"/>
      <c r="F279" s="86"/>
      <c r="G279" s="86"/>
      <c r="H279" s="86"/>
      <c r="I279" s="86"/>
    </row>
    <row r="280" spans="3:9">
      <c r="C280" s="86"/>
      <c r="D280" s="86"/>
      <c r="E280" s="86"/>
      <c r="F280" s="86"/>
      <c r="G280" s="86"/>
      <c r="H280" s="86"/>
      <c r="I280" s="86"/>
    </row>
    <row r="281" spans="3:9">
      <c r="C281" s="86"/>
      <c r="D281" s="86"/>
      <c r="E281" s="86"/>
      <c r="F281" s="86"/>
      <c r="G281" s="86"/>
      <c r="H281" s="86"/>
      <c r="I281" s="86"/>
    </row>
    <row r="282" spans="3:9">
      <c r="C282" s="86"/>
      <c r="D282" s="86"/>
      <c r="E282" s="86"/>
      <c r="F282" s="86"/>
      <c r="G282" s="86"/>
      <c r="H282" s="86"/>
      <c r="I282" s="86"/>
    </row>
    <row r="283" spans="3:9">
      <c r="C283" s="86"/>
      <c r="D283" s="86"/>
      <c r="E283" s="86"/>
      <c r="F283" s="86"/>
      <c r="G283" s="86"/>
      <c r="H283" s="86"/>
      <c r="I283" s="86"/>
    </row>
    <row r="284" spans="3:9">
      <c r="C284" s="86"/>
      <c r="D284" s="86"/>
      <c r="E284" s="86"/>
      <c r="F284" s="86"/>
      <c r="G284" s="86"/>
      <c r="H284" s="86"/>
      <c r="I284" s="86"/>
    </row>
    <row r="285" spans="3:9">
      <c r="C285" s="86"/>
      <c r="D285" s="86"/>
      <c r="E285" s="86"/>
      <c r="F285" s="86"/>
      <c r="G285" s="86"/>
      <c r="H285" s="86"/>
      <c r="I285" s="86"/>
    </row>
    <row r="286" spans="3:9">
      <c r="C286" s="86"/>
      <c r="D286" s="86"/>
      <c r="E286" s="86"/>
      <c r="F286" s="86"/>
      <c r="G286" s="86"/>
      <c r="H286" s="86"/>
      <c r="I286" s="86"/>
    </row>
    <row r="287" spans="3:9">
      <c r="C287" s="86"/>
      <c r="D287" s="86"/>
      <c r="E287" s="86"/>
      <c r="F287" s="86"/>
      <c r="G287" s="86"/>
      <c r="H287" s="86"/>
      <c r="I287" s="86"/>
    </row>
    <row r="288" spans="3:9">
      <c r="C288" s="86"/>
      <c r="D288" s="86"/>
      <c r="E288" s="86"/>
      <c r="F288" s="86"/>
      <c r="G288" s="86"/>
      <c r="H288" s="86"/>
      <c r="I288" s="86"/>
    </row>
    <row r="289" spans="3:9">
      <c r="C289" s="86"/>
      <c r="D289" s="86"/>
      <c r="E289" s="86"/>
      <c r="F289" s="86"/>
      <c r="G289" s="86"/>
      <c r="H289" s="86"/>
      <c r="I289" s="86"/>
    </row>
    <row r="290" spans="3:9">
      <c r="C290" s="86"/>
      <c r="D290" s="86"/>
      <c r="E290" s="86"/>
      <c r="F290" s="86"/>
      <c r="G290" s="86"/>
      <c r="H290" s="86"/>
      <c r="I290" s="86"/>
    </row>
    <row r="291" spans="3:9">
      <c r="C291" s="86"/>
      <c r="D291" s="86"/>
      <c r="E291" s="86"/>
      <c r="F291" s="86"/>
      <c r="G291" s="86"/>
      <c r="H291" s="86"/>
      <c r="I291" s="86"/>
    </row>
    <row r="292" spans="3:9">
      <c r="C292" s="86"/>
      <c r="D292" s="86"/>
      <c r="E292" s="86"/>
      <c r="F292" s="86"/>
      <c r="G292" s="86"/>
      <c r="H292" s="86"/>
      <c r="I292" s="86"/>
    </row>
    <row r="293" spans="3:9">
      <c r="C293" s="86"/>
      <c r="D293" s="86"/>
      <c r="E293" s="86"/>
      <c r="F293" s="86"/>
      <c r="G293" s="86"/>
      <c r="H293" s="86"/>
      <c r="I293" s="86"/>
    </row>
    <row r="294" spans="3:9">
      <c r="C294" s="86"/>
      <c r="D294" s="86"/>
      <c r="E294" s="86"/>
      <c r="F294" s="86"/>
      <c r="G294" s="86"/>
      <c r="H294" s="86"/>
      <c r="I294" s="86"/>
    </row>
    <row r="295" spans="3:9">
      <c r="C295" s="86"/>
      <c r="D295" s="86"/>
      <c r="E295" s="86"/>
      <c r="F295" s="86"/>
      <c r="G295" s="86"/>
      <c r="H295" s="86"/>
      <c r="I295" s="86"/>
    </row>
    <row r="296" spans="3:9">
      <c r="C296" s="86"/>
      <c r="D296" s="86"/>
      <c r="E296" s="86"/>
      <c r="F296" s="86"/>
      <c r="G296" s="86"/>
      <c r="H296" s="86"/>
      <c r="I296" s="86"/>
    </row>
    <row r="297" spans="3:9">
      <c r="C297" s="86"/>
      <c r="D297" s="86"/>
      <c r="E297" s="86"/>
      <c r="F297" s="86"/>
      <c r="G297" s="86"/>
      <c r="H297" s="86"/>
      <c r="I297" s="86"/>
    </row>
    <row r="298" spans="3:9">
      <c r="C298" s="86"/>
      <c r="D298" s="86"/>
      <c r="E298" s="86"/>
      <c r="F298" s="86"/>
      <c r="G298" s="86"/>
      <c r="H298" s="86"/>
      <c r="I298" s="86"/>
    </row>
    <row r="299" spans="3:9">
      <c r="C299" s="86"/>
      <c r="D299" s="86"/>
      <c r="E299" s="86"/>
      <c r="F299" s="86"/>
      <c r="G299" s="86"/>
      <c r="H299" s="86"/>
      <c r="I299" s="86"/>
    </row>
    <row r="300" spans="3:9">
      <c r="C300" s="86"/>
      <c r="D300" s="86"/>
      <c r="E300" s="86"/>
      <c r="F300" s="86"/>
      <c r="G300" s="86"/>
      <c r="H300" s="86"/>
      <c r="I300" s="86"/>
    </row>
    <row r="301" spans="3:9">
      <c r="C301" s="86"/>
      <c r="D301" s="86"/>
      <c r="E301" s="86"/>
      <c r="F301" s="86"/>
      <c r="G301" s="86"/>
      <c r="H301" s="86"/>
      <c r="I301" s="86"/>
    </row>
    <row r="302" spans="3:9">
      <c r="C302" s="86"/>
      <c r="D302" s="86"/>
      <c r="E302" s="86"/>
      <c r="F302" s="86"/>
      <c r="G302" s="86"/>
      <c r="H302" s="86"/>
      <c r="I302" s="86"/>
    </row>
    <row r="303" spans="3:9">
      <c r="C303" s="86"/>
      <c r="D303" s="86"/>
      <c r="E303" s="86"/>
      <c r="F303" s="86"/>
      <c r="G303" s="86"/>
      <c r="H303" s="86"/>
      <c r="I303" s="86"/>
    </row>
    <row r="304" spans="3:9">
      <c r="C304" s="86"/>
      <c r="D304" s="86"/>
      <c r="E304" s="86"/>
      <c r="F304" s="86"/>
      <c r="G304" s="86"/>
      <c r="H304" s="86"/>
      <c r="I304" s="86"/>
    </row>
    <row r="305" spans="3:9">
      <c r="C305" s="86"/>
      <c r="D305" s="86"/>
      <c r="E305" s="86"/>
      <c r="F305" s="86"/>
      <c r="G305" s="86"/>
      <c r="H305" s="86"/>
      <c r="I305" s="86"/>
    </row>
    <row r="306" spans="3:9">
      <c r="C306" s="86"/>
      <c r="D306" s="86"/>
      <c r="E306" s="86"/>
      <c r="F306" s="86"/>
      <c r="G306" s="86"/>
      <c r="H306" s="86"/>
      <c r="I306" s="86"/>
    </row>
    <row r="307" spans="3:9">
      <c r="C307" s="86"/>
      <c r="D307" s="86"/>
      <c r="E307" s="86"/>
      <c r="F307" s="86"/>
      <c r="G307" s="86"/>
      <c r="H307" s="86"/>
      <c r="I307" s="86"/>
    </row>
    <row r="308" spans="3:9">
      <c r="C308" s="86"/>
      <c r="D308" s="86"/>
      <c r="E308" s="86"/>
      <c r="F308" s="86"/>
      <c r="G308" s="86"/>
      <c r="H308" s="86"/>
      <c r="I308" s="86"/>
    </row>
    <row r="309" spans="3:9">
      <c r="C309" s="86"/>
      <c r="D309" s="86"/>
      <c r="E309" s="86"/>
      <c r="F309" s="86"/>
      <c r="G309" s="86"/>
      <c r="H309" s="86"/>
      <c r="I309" s="86"/>
    </row>
    <row r="310" spans="3:9">
      <c r="C310" s="86"/>
      <c r="D310" s="86"/>
      <c r="E310" s="86"/>
      <c r="F310" s="86"/>
      <c r="G310" s="86"/>
      <c r="H310" s="86"/>
      <c r="I310" s="86"/>
    </row>
    <row r="311" spans="3:9">
      <c r="C311" s="86"/>
      <c r="D311" s="86"/>
      <c r="E311" s="86"/>
      <c r="F311" s="86"/>
      <c r="G311" s="86"/>
      <c r="H311" s="86"/>
      <c r="I311" s="86"/>
    </row>
    <row r="312" spans="3:9">
      <c r="C312" s="86"/>
      <c r="D312" s="86"/>
      <c r="E312" s="86"/>
      <c r="F312" s="86"/>
      <c r="G312" s="86"/>
      <c r="H312" s="86"/>
      <c r="I312" s="86"/>
    </row>
    <row r="313" spans="3:9">
      <c r="C313" s="86"/>
      <c r="D313" s="86"/>
      <c r="E313" s="86"/>
      <c r="F313" s="86"/>
      <c r="G313" s="86"/>
      <c r="H313" s="86"/>
      <c r="I313" s="86"/>
    </row>
    <row r="314" spans="3:9">
      <c r="C314" s="86"/>
      <c r="D314" s="86"/>
      <c r="E314" s="86"/>
      <c r="F314" s="86"/>
      <c r="G314" s="86"/>
      <c r="H314" s="86"/>
      <c r="I314" s="86"/>
    </row>
    <row r="315" spans="3:9">
      <c r="C315" s="86"/>
      <c r="D315" s="86"/>
      <c r="E315" s="86"/>
      <c r="F315" s="86"/>
      <c r="G315" s="86"/>
      <c r="H315" s="86"/>
      <c r="I315" s="86"/>
    </row>
    <row r="316" spans="3:9">
      <c r="C316" s="86"/>
      <c r="D316" s="86"/>
      <c r="E316" s="86"/>
      <c r="F316" s="86"/>
      <c r="G316" s="86"/>
      <c r="H316" s="86"/>
      <c r="I316" s="86"/>
    </row>
    <row r="317" spans="3:9">
      <c r="C317" s="86"/>
      <c r="D317" s="86"/>
      <c r="E317" s="86"/>
      <c r="F317" s="86"/>
      <c r="G317" s="86"/>
      <c r="H317" s="86"/>
      <c r="I317" s="86"/>
    </row>
    <row r="318" spans="3:9">
      <c r="C318" s="86"/>
      <c r="D318" s="86"/>
      <c r="E318" s="86"/>
      <c r="F318" s="86"/>
      <c r="G318" s="86"/>
      <c r="H318" s="86"/>
      <c r="I318" s="86"/>
    </row>
    <row r="319" spans="3:9">
      <c r="C319" s="86"/>
      <c r="D319" s="86"/>
      <c r="E319" s="86"/>
      <c r="F319" s="86"/>
      <c r="G319" s="86"/>
      <c r="H319" s="86"/>
      <c r="I319" s="86"/>
    </row>
    <row r="320" spans="3:9">
      <c r="C320" s="86"/>
      <c r="D320" s="86"/>
      <c r="E320" s="86"/>
      <c r="F320" s="86"/>
      <c r="G320" s="86"/>
      <c r="H320" s="86"/>
      <c r="I320" s="86"/>
    </row>
    <row r="321" spans="3:9">
      <c r="C321" s="86"/>
      <c r="D321" s="86"/>
      <c r="E321" s="86"/>
      <c r="F321" s="86"/>
      <c r="G321" s="86"/>
      <c r="H321" s="86"/>
      <c r="I321" s="86"/>
    </row>
    <row r="322" spans="3:9">
      <c r="C322" s="86"/>
      <c r="D322" s="86"/>
      <c r="E322" s="86"/>
      <c r="F322" s="86"/>
      <c r="G322" s="86"/>
      <c r="H322" s="86"/>
      <c r="I322" s="86"/>
    </row>
    <row r="323" spans="3:9">
      <c r="C323" s="86"/>
      <c r="D323" s="86"/>
      <c r="E323" s="86"/>
      <c r="F323" s="86"/>
      <c r="G323" s="86"/>
      <c r="H323" s="86"/>
      <c r="I323" s="86"/>
    </row>
    <row r="324" spans="3:9">
      <c r="C324" s="86"/>
      <c r="D324" s="86"/>
      <c r="E324" s="86"/>
      <c r="F324" s="86"/>
      <c r="G324" s="86"/>
      <c r="H324" s="86"/>
      <c r="I324" s="86"/>
    </row>
    <row r="325" spans="3:9">
      <c r="C325" s="86"/>
      <c r="D325" s="86"/>
      <c r="E325" s="86"/>
      <c r="F325" s="86"/>
      <c r="G325" s="86"/>
      <c r="H325" s="86"/>
      <c r="I325" s="86"/>
    </row>
    <row r="326" spans="3:9">
      <c r="C326" s="86"/>
      <c r="D326" s="86"/>
      <c r="E326" s="86"/>
      <c r="F326" s="86"/>
      <c r="G326" s="86"/>
      <c r="H326" s="86"/>
      <c r="I326" s="86"/>
    </row>
    <row r="327" spans="3:9">
      <c r="C327" s="86"/>
      <c r="D327" s="86"/>
      <c r="E327" s="86"/>
      <c r="F327" s="86"/>
      <c r="G327" s="86"/>
      <c r="H327" s="86"/>
      <c r="I327" s="86"/>
    </row>
    <row r="328" spans="3:9">
      <c r="C328" s="86"/>
      <c r="D328" s="86"/>
      <c r="E328" s="86"/>
      <c r="F328" s="86"/>
      <c r="G328" s="86"/>
      <c r="H328" s="86"/>
      <c r="I328" s="86"/>
    </row>
    <row r="329" spans="3:9">
      <c r="C329" s="86"/>
      <c r="D329" s="86"/>
      <c r="E329" s="86"/>
      <c r="F329" s="86"/>
      <c r="G329" s="86"/>
      <c r="H329" s="86"/>
      <c r="I329" s="86"/>
    </row>
    <row r="330" spans="3:9">
      <c r="C330" s="86"/>
      <c r="D330" s="86"/>
      <c r="E330" s="86"/>
      <c r="F330" s="86"/>
      <c r="G330" s="86"/>
      <c r="H330" s="86"/>
      <c r="I330" s="86"/>
    </row>
    <row r="331" spans="3:9">
      <c r="C331" s="86"/>
      <c r="D331" s="86"/>
      <c r="E331" s="86"/>
      <c r="F331" s="86"/>
      <c r="G331" s="86"/>
      <c r="H331" s="86"/>
      <c r="I331" s="86"/>
    </row>
    <row r="332" spans="3:9">
      <c r="C332" s="86"/>
      <c r="D332" s="86"/>
      <c r="E332" s="86"/>
      <c r="F332" s="86"/>
      <c r="G332" s="86"/>
      <c r="H332" s="86"/>
      <c r="I332" s="86"/>
    </row>
    <row r="333" spans="3:9">
      <c r="C333" s="86"/>
      <c r="D333" s="86"/>
      <c r="E333" s="86"/>
      <c r="F333" s="86"/>
      <c r="G333" s="86"/>
      <c r="H333" s="86"/>
      <c r="I333" s="86"/>
    </row>
    <row r="334" spans="3:9">
      <c r="C334" s="86"/>
      <c r="D334" s="86"/>
      <c r="E334" s="86"/>
      <c r="F334" s="86"/>
      <c r="G334" s="86"/>
      <c r="H334" s="86"/>
      <c r="I334" s="86"/>
    </row>
    <row r="335" spans="3:9">
      <c r="C335" s="86"/>
      <c r="D335" s="86"/>
      <c r="E335" s="86"/>
      <c r="F335" s="86"/>
      <c r="G335" s="86"/>
      <c r="H335" s="86"/>
      <c r="I335" s="86"/>
    </row>
    <row r="336" spans="3:9">
      <c r="C336" s="86"/>
      <c r="D336" s="86"/>
      <c r="E336" s="86"/>
      <c r="F336" s="86"/>
      <c r="G336" s="86"/>
      <c r="H336" s="86"/>
      <c r="I336" s="86"/>
    </row>
    <row r="337" spans="3:9">
      <c r="C337" s="86"/>
      <c r="D337" s="86"/>
      <c r="E337" s="86"/>
      <c r="F337" s="86"/>
      <c r="G337" s="86"/>
      <c r="H337" s="86"/>
      <c r="I337" s="86"/>
    </row>
    <row r="338" spans="3:9">
      <c r="C338" s="86"/>
      <c r="D338" s="86"/>
      <c r="E338" s="86"/>
      <c r="F338" s="86"/>
      <c r="G338" s="86"/>
      <c r="H338" s="86"/>
      <c r="I338" s="86"/>
    </row>
    <row r="339" spans="3:9">
      <c r="C339" s="86"/>
      <c r="D339" s="86"/>
      <c r="E339" s="86"/>
      <c r="F339" s="86"/>
      <c r="G339" s="86"/>
      <c r="H339" s="86"/>
      <c r="I339" s="86"/>
    </row>
    <row r="340" spans="3:9">
      <c r="C340" s="86"/>
      <c r="D340" s="86"/>
      <c r="E340" s="86"/>
      <c r="F340" s="86"/>
      <c r="G340" s="86"/>
      <c r="H340" s="86"/>
      <c r="I340" s="86"/>
    </row>
    <row r="341" spans="3:9">
      <c r="C341" s="86"/>
      <c r="D341" s="86"/>
      <c r="E341" s="86"/>
      <c r="F341" s="86"/>
      <c r="G341" s="86"/>
      <c r="H341" s="86"/>
      <c r="I341" s="86"/>
    </row>
    <row r="342" spans="3:9">
      <c r="C342" s="86"/>
      <c r="D342" s="86"/>
      <c r="E342" s="86"/>
      <c r="F342" s="86"/>
      <c r="G342" s="86"/>
      <c r="H342" s="86"/>
      <c r="I342" s="86"/>
    </row>
    <row r="343" spans="3:9">
      <c r="C343" s="86"/>
      <c r="D343" s="86"/>
      <c r="E343" s="86"/>
      <c r="F343" s="86"/>
      <c r="G343" s="86"/>
      <c r="H343" s="86"/>
      <c r="I343" s="86"/>
    </row>
    <row r="344" spans="3:9">
      <c r="C344" s="86"/>
      <c r="D344" s="86"/>
      <c r="E344" s="86"/>
      <c r="F344" s="86"/>
      <c r="G344" s="86"/>
      <c r="H344" s="86"/>
      <c r="I344" s="86"/>
    </row>
    <row r="345" spans="3:9">
      <c r="C345" s="86"/>
      <c r="D345" s="86"/>
      <c r="E345" s="86"/>
      <c r="F345" s="86"/>
      <c r="G345" s="86"/>
      <c r="H345" s="86"/>
      <c r="I345" s="86"/>
    </row>
    <row r="346" spans="3:9">
      <c r="C346" s="86"/>
      <c r="D346" s="86"/>
      <c r="E346" s="86"/>
      <c r="F346" s="86"/>
      <c r="G346" s="86"/>
      <c r="H346" s="86"/>
      <c r="I346" s="86"/>
    </row>
    <row r="347" spans="3:9">
      <c r="C347" s="86"/>
      <c r="D347" s="86"/>
      <c r="E347" s="86"/>
      <c r="F347" s="86"/>
      <c r="G347" s="86"/>
      <c r="H347" s="86"/>
      <c r="I347" s="86"/>
    </row>
    <row r="348" spans="3:9">
      <c r="C348" s="86"/>
      <c r="D348" s="86"/>
      <c r="E348" s="86"/>
      <c r="F348" s="86"/>
      <c r="G348" s="86"/>
      <c r="H348" s="86"/>
      <c r="I348" s="86"/>
    </row>
    <row r="349" spans="3:9">
      <c r="C349" s="86"/>
      <c r="D349" s="86"/>
      <c r="E349" s="86"/>
      <c r="F349" s="86"/>
      <c r="G349" s="86"/>
      <c r="H349" s="86"/>
      <c r="I349" s="86"/>
    </row>
    <row r="350" spans="3:9">
      <c r="C350" s="86"/>
      <c r="D350" s="86"/>
      <c r="E350" s="86"/>
      <c r="F350" s="86"/>
      <c r="G350" s="86"/>
      <c r="H350" s="86"/>
      <c r="I350" s="86"/>
    </row>
    <row r="351" spans="3:9">
      <c r="C351" s="86"/>
      <c r="D351" s="86"/>
      <c r="E351" s="86"/>
      <c r="F351" s="86"/>
      <c r="G351" s="86"/>
      <c r="H351" s="86"/>
      <c r="I351" s="86"/>
    </row>
    <row r="352" spans="3:9">
      <c r="C352" s="86"/>
      <c r="D352" s="86"/>
      <c r="E352" s="86"/>
      <c r="F352" s="86"/>
      <c r="G352" s="86"/>
      <c r="H352" s="86"/>
      <c r="I352" s="86"/>
    </row>
    <row r="353" spans="3:9">
      <c r="C353" s="86"/>
      <c r="D353" s="86"/>
      <c r="E353" s="86"/>
      <c r="F353" s="86"/>
      <c r="G353" s="86"/>
      <c r="H353" s="86"/>
      <c r="I353" s="86"/>
    </row>
    <row r="354" spans="3:9">
      <c r="C354" s="86"/>
      <c r="D354" s="86"/>
      <c r="E354" s="86"/>
      <c r="F354" s="86"/>
      <c r="G354" s="86"/>
      <c r="H354" s="86"/>
      <c r="I354" s="86"/>
    </row>
    <row r="355" spans="3:9">
      <c r="C355" s="86"/>
      <c r="D355" s="86"/>
      <c r="E355" s="86"/>
      <c r="F355" s="86"/>
      <c r="G355" s="86"/>
      <c r="H355" s="86"/>
      <c r="I355" s="86"/>
    </row>
    <row r="356" spans="3:9">
      <c r="C356" s="86"/>
      <c r="D356" s="86"/>
      <c r="E356" s="86"/>
      <c r="F356" s="86"/>
      <c r="G356" s="86"/>
      <c r="H356" s="86"/>
      <c r="I356" s="86"/>
    </row>
    <row r="357" spans="3:9">
      <c r="C357" s="86"/>
      <c r="D357" s="86"/>
      <c r="E357" s="86"/>
      <c r="F357" s="86"/>
      <c r="G357" s="86"/>
      <c r="H357" s="86"/>
      <c r="I357" s="86"/>
    </row>
    <row r="358" spans="3:9">
      <c r="C358" s="86"/>
      <c r="D358" s="86"/>
      <c r="E358" s="86"/>
      <c r="F358" s="86"/>
      <c r="G358" s="86"/>
      <c r="H358" s="86"/>
      <c r="I358" s="86"/>
    </row>
    <row r="359" spans="3:9">
      <c r="C359" s="86"/>
      <c r="D359" s="86"/>
      <c r="E359" s="86"/>
      <c r="F359" s="86"/>
      <c r="G359" s="86"/>
      <c r="H359" s="86"/>
      <c r="I359" s="86"/>
    </row>
    <row r="360" spans="3:9">
      <c r="C360" s="86"/>
      <c r="D360" s="86"/>
      <c r="E360" s="86"/>
      <c r="F360" s="86"/>
      <c r="G360" s="86"/>
      <c r="H360" s="86"/>
      <c r="I360" s="86"/>
    </row>
    <row r="361" spans="3:9">
      <c r="C361" s="86"/>
      <c r="D361" s="86"/>
      <c r="E361" s="86"/>
      <c r="F361" s="86"/>
      <c r="G361" s="86"/>
      <c r="H361" s="86"/>
      <c r="I361" s="86"/>
    </row>
    <row r="362" spans="3:9">
      <c r="C362" s="86"/>
      <c r="D362" s="86"/>
      <c r="E362" s="86"/>
      <c r="F362" s="86"/>
      <c r="G362" s="86"/>
      <c r="H362" s="86"/>
      <c r="I362" s="86"/>
    </row>
    <row r="363" spans="3:9">
      <c r="C363" s="86"/>
      <c r="D363" s="86"/>
      <c r="E363" s="86"/>
      <c r="F363" s="86"/>
      <c r="G363" s="86"/>
      <c r="H363" s="86"/>
      <c r="I363" s="86"/>
    </row>
    <row r="364" spans="3:9">
      <c r="C364" s="86"/>
      <c r="D364" s="86"/>
      <c r="E364" s="86"/>
      <c r="F364" s="86"/>
      <c r="G364" s="86"/>
      <c r="H364" s="86"/>
      <c r="I364" s="86"/>
    </row>
    <row r="365" spans="3:9">
      <c r="C365" s="86"/>
      <c r="D365" s="86"/>
      <c r="E365" s="86"/>
      <c r="F365" s="86"/>
      <c r="G365" s="86"/>
      <c r="H365" s="86"/>
      <c r="I365" s="86"/>
    </row>
    <row r="366" spans="3:9">
      <c r="C366" s="86"/>
      <c r="D366" s="86"/>
      <c r="E366" s="86"/>
      <c r="F366" s="86"/>
      <c r="G366" s="86"/>
      <c r="H366" s="86"/>
      <c r="I366" s="86"/>
    </row>
    <row r="367" spans="3:9">
      <c r="C367" s="86"/>
      <c r="D367" s="86"/>
      <c r="E367" s="86"/>
      <c r="F367" s="86"/>
      <c r="G367" s="86"/>
      <c r="H367" s="86"/>
      <c r="I367" s="86"/>
    </row>
    <row r="368" spans="3:9">
      <c r="C368" s="86"/>
      <c r="D368" s="86"/>
      <c r="E368" s="86"/>
      <c r="F368" s="86"/>
      <c r="G368" s="86"/>
      <c r="H368" s="86"/>
      <c r="I368" s="86"/>
    </row>
    <row r="369" spans="3:9">
      <c r="C369" s="86"/>
      <c r="D369" s="86"/>
      <c r="E369" s="86"/>
      <c r="F369" s="86"/>
      <c r="G369" s="86"/>
      <c r="H369" s="86"/>
      <c r="I369" s="86"/>
    </row>
    <row r="370" spans="3:9">
      <c r="C370" s="86"/>
      <c r="D370" s="86"/>
      <c r="E370" s="86"/>
      <c r="F370" s="86"/>
      <c r="G370" s="86"/>
      <c r="H370" s="86"/>
      <c r="I370" s="86"/>
    </row>
    <row r="371" spans="3:9">
      <c r="C371" s="86"/>
      <c r="D371" s="86"/>
      <c r="E371" s="86"/>
      <c r="F371" s="86"/>
      <c r="G371" s="86"/>
      <c r="H371" s="86"/>
      <c r="I371" s="86"/>
    </row>
    <row r="372" spans="3:9">
      <c r="C372" s="86"/>
      <c r="D372" s="86"/>
      <c r="E372" s="86"/>
      <c r="F372" s="86"/>
      <c r="G372" s="86"/>
      <c r="H372" s="86"/>
      <c r="I372" s="86"/>
    </row>
    <row r="373" spans="3:9">
      <c r="C373" s="86"/>
      <c r="D373" s="86"/>
      <c r="E373" s="86"/>
      <c r="F373" s="86"/>
      <c r="G373" s="86"/>
      <c r="H373" s="86"/>
      <c r="I373" s="86"/>
    </row>
    <row r="374" spans="3:9">
      <c r="C374" s="86"/>
      <c r="D374" s="86"/>
      <c r="E374" s="86"/>
      <c r="F374" s="86"/>
      <c r="G374" s="86"/>
      <c r="H374" s="86"/>
      <c r="I374" s="86"/>
    </row>
    <row r="375" spans="3:9">
      <c r="C375" s="86"/>
      <c r="D375" s="86"/>
      <c r="E375" s="86"/>
      <c r="F375" s="86"/>
      <c r="G375" s="86"/>
      <c r="H375" s="86"/>
      <c r="I375" s="86"/>
    </row>
    <row r="376" spans="3:9">
      <c r="C376" s="86"/>
      <c r="D376" s="86"/>
      <c r="E376" s="86"/>
      <c r="F376" s="86"/>
      <c r="G376" s="86"/>
      <c r="H376" s="86"/>
      <c r="I376" s="86"/>
    </row>
    <row r="377" spans="3:9">
      <c r="C377" s="86"/>
      <c r="D377" s="86"/>
      <c r="E377" s="86"/>
      <c r="F377" s="86"/>
      <c r="G377" s="86"/>
      <c r="H377" s="86"/>
      <c r="I377" s="86"/>
    </row>
    <row r="378" spans="3:9">
      <c r="C378" s="86"/>
      <c r="D378" s="86"/>
      <c r="E378" s="86"/>
      <c r="F378" s="86"/>
      <c r="G378" s="86"/>
      <c r="H378" s="86"/>
      <c r="I378" s="86"/>
    </row>
    <row r="379" spans="3:9">
      <c r="C379" s="86"/>
      <c r="D379" s="86"/>
      <c r="E379" s="86"/>
      <c r="F379" s="86"/>
      <c r="G379" s="86"/>
      <c r="H379" s="86"/>
      <c r="I379" s="86"/>
    </row>
    <row r="380" spans="3:9">
      <c r="C380" s="86"/>
      <c r="D380" s="86"/>
      <c r="E380" s="86"/>
      <c r="F380" s="86"/>
      <c r="G380" s="86"/>
      <c r="H380" s="86"/>
      <c r="I380" s="86"/>
    </row>
    <row r="381" spans="3:9">
      <c r="C381" s="86"/>
      <c r="D381" s="86"/>
      <c r="E381" s="86"/>
      <c r="F381" s="86"/>
      <c r="G381" s="86"/>
      <c r="H381" s="86"/>
      <c r="I381" s="86"/>
    </row>
    <row r="382" spans="3:9">
      <c r="C382" s="86"/>
      <c r="D382" s="86"/>
      <c r="E382" s="86"/>
      <c r="F382" s="86"/>
      <c r="G382" s="86"/>
      <c r="H382" s="86"/>
      <c r="I382" s="86"/>
    </row>
    <row r="383" spans="3:9">
      <c r="C383" s="86"/>
      <c r="D383" s="86"/>
      <c r="E383" s="86"/>
      <c r="F383" s="86"/>
      <c r="G383" s="86"/>
      <c r="H383" s="86"/>
      <c r="I383" s="86"/>
    </row>
    <row r="384" spans="3:9">
      <c r="C384" s="86"/>
      <c r="D384" s="86"/>
      <c r="E384" s="86"/>
      <c r="F384" s="86"/>
      <c r="G384" s="86"/>
      <c r="H384" s="86"/>
      <c r="I384" s="86"/>
    </row>
    <row r="385" spans="3:9">
      <c r="C385" s="86"/>
      <c r="D385" s="86"/>
      <c r="E385" s="86"/>
      <c r="F385" s="86"/>
      <c r="G385" s="86"/>
      <c r="H385" s="86"/>
      <c r="I385" s="86"/>
    </row>
    <row r="386" spans="3:9">
      <c r="C386" s="86"/>
      <c r="D386" s="86"/>
      <c r="E386" s="86"/>
      <c r="F386" s="86"/>
      <c r="G386" s="86"/>
      <c r="H386" s="86"/>
      <c r="I386" s="86"/>
    </row>
    <row r="387" spans="3:9">
      <c r="C387" s="86"/>
      <c r="D387" s="86"/>
      <c r="E387" s="86"/>
      <c r="F387" s="86"/>
      <c r="G387" s="86"/>
      <c r="H387" s="86"/>
      <c r="I387" s="86"/>
    </row>
    <row r="388" spans="3:9">
      <c r="C388" s="86"/>
      <c r="D388" s="86"/>
      <c r="E388" s="86"/>
      <c r="F388" s="86"/>
      <c r="G388" s="86"/>
      <c r="H388" s="86"/>
      <c r="I388" s="86"/>
    </row>
    <row r="389" spans="3:9">
      <c r="C389" s="86"/>
      <c r="D389" s="86"/>
      <c r="E389" s="86"/>
      <c r="F389" s="86"/>
      <c r="G389" s="86"/>
      <c r="H389" s="86"/>
      <c r="I389" s="86"/>
    </row>
    <row r="390" spans="3:9">
      <c r="C390" s="86"/>
      <c r="D390" s="86"/>
      <c r="E390" s="86"/>
      <c r="F390" s="86"/>
      <c r="G390" s="86"/>
      <c r="H390" s="86"/>
      <c r="I390" s="86"/>
    </row>
    <row r="391" spans="3:9">
      <c r="C391" s="86"/>
      <c r="D391" s="86"/>
      <c r="E391" s="86"/>
      <c r="F391" s="86"/>
      <c r="G391" s="86"/>
      <c r="H391" s="86"/>
      <c r="I391" s="86"/>
    </row>
    <row r="392" spans="3:9">
      <c r="C392" s="86"/>
      <c r="D392" s="86"/>
      <c r="E392" s="86"/>
      <c r="F392" s="86"/>
      <c r="G392" s="86"/>
      <c r="H392" s="86"/>
      <c r="I392" s="86"/>
    </row>
    <row r="393" spans="3:9">
      <c r="C393" s="86"/>
      <c r="D393" s="86"/>
      <c r="E393" s="86"/>
      <c r="F393" s="86"/>
      <c r="G393" s="86"/>
      <c r="H393" s="86"/>
      <c r="I393" s="86"/>
    </row>
    <row r="394" spans="3:9">
      <c r="C394" s="86"/>
      <c r="D394" s="86"/>
      <c r="E394" s="86"/>
      <c r="F394" s="86"/>
      <c r="G394" s="86"/>
      <c r="H394" s="86"/>
      <c r="I394" s="86"/>
    </row>
    <row r="395" spans="3:9">
      <c r="C395" s="86"/>
      <c r="D395" s="86"/>
      <c r="E395" s="86"/>
      <c r="F395" s="86"/>
      <c r="G395" s="86"/>
      <c r="H395" s="86"/>
      <c r="I395" s="86"/>
    </row>
    <row r="396" spans="3:9">
      <c r="C396" s="86"/>
      <c r="D396" s="86"/>
      <c r="E396" s="86"/>
      <c r="F396" s="86"/>
      <c r="G396" s="86"/>
      <c r="H396" s="86"/>
      <c r="I396" s="86"/>
    </row>
    <row r="397" spans="3:9">
      <c r="C397" s="86"/>
      <c r="D397" s="86"/>
      <c r="E397" s="86"/>
      <c r="F397" s="86"/>
      <c r="G397" s="86"/>
      <c r="H397" s="86"/>
      <c r="I397" s="86"/>
    </row>
    <row r="398" spans="3:9">
      <c r="C398" s="86"/>
      <c r="D398" s="86"/>
      <c r="E398" s="86"/>
      <c r="F398" s="86"/>
      <c r="G398" s="86"/>
      <c r="H398" s="86"/>
      <c r="I398" s="86"/>
    </row>
    <row r="399" spans="3:9">
      <c r="C399" s="86"/>
      <c r="D399" s="86"/>
      <c r="E399" s="86"/>
      <c r="F399" s="86"/>
      <c r="G399" s="86"/>
      <c r="H399" s="86"/>
      <c r="I399" s="86"/>
    </row>
    <row r="400" spans="3:9">
      <c r="C400" s="86"/>
      <c r="D400" s="86"/>
      <c r="E400" s="86"/>
      <c r="F400" s="86"/>
      <c r="G400" s="86"/>
      <c r="H400" s="86"/>
      <c r="I400" s="86"/>
    </row>
    <row r="401" spans="3:9">
      <c r="C401" s="86"/>
      <c r="D401" s="86"/>
      <c r="E401" s="86"/>
      <c r="F401" s="86"/>
      <c r="G401" s="86"/>
      <c r="H401" s="86"/>
      <c r="I401" s="86"/>
    </row>
    <row r="402" spans="3:9">
      <c r="C402" s="86"/>
      <c r="D402" s="86"/>
      <c r="E402" s="86"/>
      <c r="F402" s="86"/>
      <c r="G402" s="86"/>
      <c r="H402" s="86"/>
      <c r="I402" s="86"/>
    </row>
    <row r="403" spans="3:9">
      <c r="C403" s="86"/>
      <c r="D403" s="86"/>
      <c r="E403" s="86"/>
      <c r="F403" s="86"/>
      <c r="G403" s="86"/>
      <c r="H403" s="86"/>
      <c r="I403" s="86"/>
    </row>
    <row r="404" spans="3:9">
      <c r="C404" s="86"/>
      <c r="D404" s="86"/>
      <c r="E404" s="86"/>
      <c r="F404" s="86"/>
      <c r="G404" s="86"/>
      <c r="H404" s="86"/>
      <c r="I404" s="86"/>
    </row>
    <row r="405" spans="3:9">
      <c r="C405" s="86"/>
      <c r="D405" s="86"/>
      <c r="E405" s="86"/>
      <c r="F405" s="86"/>
      <c r="G405" s="86"/>
      <c r="H405" s="86"/>
      <c r="I405" s="86"/>
    </row>
    <row r="406" spans="3:9">
      <c r="C406" s="86"/>
      <c r="D406" s="86"/>
      <c r="E406" s="86"/>
      <c r="F406" s="86"/>
      <c r="G406" s="86"/>
      <c r="H406" s="86"/>
      <c r="I406" s="86"/>
    </row>
    <row r="407" spans="3:9">
      <c r="C407" s="86"/>
      <c r="D407" s="86"/>
      <c r="E407" s="86"/>
      <c r="F407" s="86"/>
      <c r="G407" s="86"/>
      <c r="H407" s="86"/>
      <c r="I407" s="86"/>
    </row>
    <row r="408" spans="3:9">
      <c r="C408" s="86"/>
      <c r="D408" s="86"/>
      <c r="E408" s="86"/>
      <c r="F408" s="86"/>
      <c r="G408" s="86"/>
      <c r="H408" s="86"/>
      <c r="I408" s="86"/>
    </row>
    <row r="409" spans="3:9">
      <c r="C409" s="86"/>
      <c r="D409" s="86"/>
      <c r="E409" s="86"/>
      <c r="F409" s="86"/>
      <c r="G409" s="86"/>
      <c r="H409" s="86"/>
      <c r="I409" s="86"/>
    </row>
  </sheetData>
  <mergeCells count="85">
    <mergeCell ref="C31:E31"/>
    <mergeCell ref="F31:H31"/>
    <mergeCell ref="J6:W6"/>
    <mergeCell ref="Y6:AU6"/>
    <mergeCell ref="AW6:BW6"/>
    <mergeCell ref="C7:E7"/>
    <mergeCell ref="F7:H7"/>
    <mergeCell ref="J18:W18"/>
    <mergeCell ref="Y18:AU18"/>
    <mergeCell ref="AW18:BW18"/>
    <mergeCell ref="C19:E19"/>
    <mergeCell ref="F19:H19"/>
    <mergeCell ref="J30:W30"/>
    <mergeCell ref="Y30:AU30"/>
    <mergeCell ref="AW30:BW30"/>
    <mergeCell ref="C61:E61"/>
    <mergeCell ref="F61:H61"/>
    <mergeCell ref="J41:W41"/>
    <mergeCell ref="Y41:AU41"/>
    <mergeCell ref="AW41:BW41"/>
    <mergeCell ref="C42:E42"/>
    <mergeCell ref="F42:H42"/>
    <mergeCell ref="J50:W50"/>
    <mergeCell ref="Y50:AU50"/>
    <mergeCell ref="AW50:BW50"/>
    <mergeCell ref="C51:E51"/>
    <mergeCell ref="F51:H51"/>
    <mergeCell ref="J60:W60"/>
    <mergeCell ref="Y60:AU60"/>
    <mergeCell ref="AW60:BW60"/>
    <mergeCell ref="C92:E92"/>
    <mergeCell ref="F92:H92"/>
    <mergeCell ref="J70:W70"/>
    <mergeCell ref="Y70:AU70"/>
    <mergeCell ref="AW70:BW70"/>
    <mergeCell ref="C71:E71"/>
    <mergeCell ref="F71:H71"/>
    <mergeCell ref="J81:W81"/>
    <mergeCell ref="Y81:AU81"/>
    <mergeCell ref="AW81:BW81"/>
    <mergeCell ref="C82:E82"/>
    <mergeCell ref="F82:H82"/>
    <mergeCell ref="J91:W91"/>
    <mergeCell ref="Y91:AU91"/>
    <mergeCell ref="AW91:BW91"/>
    <mergeCell ref="C120:E120"/>
    <mergeCell ref="F120:H120"/>
    <mergeCell ref="J101:W101"/>
    <mergeCell ref="Y101:AU101"/>
    <mergeCell ref="AW101:BW101"/>
    <mergeCell ref="C102:E102"/>
    <mergeCell ref="F102:H102"/>
    <mergeCell ref="J110:W110"/>
    <mergeCell ref="Y110:AU110"/>
    <mergeCell ref="AW110:BW110"/>
    <mergeCell ref="C111:E111"/>
    <mergeCell ref="F111:H111"/>
    <mergeCell ref="J119:W119"/>
    <mergeCell ref="Y119:AU119"/>
    <mergeCell ref="AW119:BW119"/>
    <mergeCell ref="C156:E156"/>
    <mergeCell ref="F156:H156"/>
    <mergeCell ref="J130:W130"/>
    <mergeCell ref="Y130:AU130"/>
    <mergeCell ref="AW130:BW130"/>
    <mergeCell ref="C131:E131"/>
    <mergeCell ref="F131:H131"/>
    <mergeCell ref="J143:W143"/>
    <mergeCell ref="Y143:AU143"/>
    <mergeCell ref="AW143:BW143"/>
    <mergeCell ref="C144:E144"/>
    <mergeCell ref="F144:H144"/>
    <mergeCell ref="J155:W155"/>
    <mergeCell ref="Y155:AU155"/>
    <mergeCell ref="AW155:BW155"/>
    <mergeCell ref="C177:E177"/>
    <mergeCell ref="F177:H177"/>
    <mergeCell ref="J166:W166"/>
    <mergeCell ref="Y166:AU166"/>
    <mergeCell ref="AW166:BW166"/>
    <mergeCell ref="C167:E167"/>
    <mergeCell ref="F167:H167"/>
    <mergeCell ref="J176:W176"/>
    <mergeCell ref="Y176:AU176"/>
    <mergeCell ref="AW176:BW176"/>
  </mergeCells>
  <pageMargins left="0.7" right="0.7" top="0.75" bottom="0.75" header="0.3" footer="0.3"/>
  <pageSetup paperSize="9" orientation="portrait" r:id="rId1"/>
  <ignoredErrors>
    <ignoredError sqref="AT108:AU108 AT117:AU117 AT48:AU48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C349-14B8-407E-BB95-AC2730DDF372}">
  <dimension ref="A1:S65"/>
  <sheetViews>
    <sheetView zoomScale="70" zoomScaleNormal="70" workbookViewId="0"/>
  </sheetViews>
  <sheetFormatPr baseColWidth="10" defaultColWidth="16" defaultRowHeight="13"/>
  <cols>
    <col min="1" max="1" width="23.5429687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Hospitalización por Insuficiencia cardíaca, Subgr [+ - FEVIr,  con DM2], en 19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47" customHeight="1">
      <c r="A4" s="559" t="s">
        <v>384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138</v>
      </c>
      <c r="C5" s="563">
        <f>D5-B5</f>
        <v>937</v>
      </c>
      <c r="D5" s="564">
        <v>1075</v>
      </c>
      <c r="E5" s="562">
        <v>172</v>
      </c>
      <c r="F5" s="563">
        <f>G5-E5</f>
        <v>892</v>
      </c>
      <c r="G5" s="564">
        <v>1064</v>
      </c>
      <c r="H5" s="522">
        <v>1.4166666666666667</v>
      </c>
      <c r="I5" s="132">
        <f t="shared" ref="I5:I7" si="0">D5*H5</f>
        <v>1522.9166666666667</v>
      </c>
      <c r="J5" s="132">
        <f t="shared" ref="J5:J7" si="1">G5*H5</f>
        <v>1507.3333333333335</v>
      </c>
      <c r="K5" s="132">
        <f>I5+J5</f>
        <v>3030.25</v>
      </c>
      <c r="L5" s="133">
        <f t="shared" ref="L5:L8" si="2">B5/I5</f>
        <v>9.0615595075239391E-2</v>
      </c>
      <c r="M5" s="133">
        <f t="shared" ref="M5:M8" si="3">E5/J5</f>
        <v>0.11410880141530295</v>
      </c>
      <c r="N5" s="134">
        <v>66.349999999999994</v>
      </c>
      <c r="O5" s="615">
        <f>N5*(D5+G5)</f>
        <v>141922.65</v>
      </c>
      <c r="P5" s="613" t="str">
        <f t="shared" ref="P5:P8" si="4">CONCATENATE(B5," ",$P$4," ",D5)</f>
        <v>138 / 1075</v>
      </c>
      <c r="Q5" s="613" t="str">
        <f t="shared" ref="Q5:Q8" si="5">CONCATENATE(E5," ",$Q$4," ",G5)</f>
        <v>172 / 1064</v>
      </c>
    </row>
    <row r="6" spans="1:19">
      <c r="A6" s="561" t="s">
        <v>230</v>
      </c>
      <c r="B6" s="562">
        <v>140</v>
      </c>
      <c r="C6" s="563">
        <f t="shared" ref="C6:C7" si="6">D6-B6</f>
        <v>787</v>
      </c>
      <c r="D6" s="564">
        <v>927</v>
      </c>
      <c r="E6" s="562">
        <v>201</v>
      </c>
      <c r="F6" s="563">
        <f t="shared" ref="F6:F7" si="7">G6-E6</f>
        <v>728</v>
      </c>
      <c r="G6" s="564">
        <v>929</v>
      </c>
      <c r="H6" s="522">
        <v>1.25</v>
      </c>
      <c r="I6" s="132">
        <f t="shared" si="0"/>
        <v>1158.75</v>
      </c>
      <c r="J6" s="132">
        <f t="shared" si="1"/>
        <v>1161.25</v>
      </c>
      <c r="K6" s="132">
        <f t="shared" ref="K6:K7" si="8">I6+J6</f>
        <v>2320</v>
      </c>
      <c r="L6" s="133">
        <f t="shared" si="2"/>
        <v>0.12081984897518878</v>
      </c>
      <c r="M6" s="133">
        <f t="shared" si="3"/>
        <v>0.17308934337997847</v>
      </c>
      <c r="N6" s="134">
        <v>66.849999999999994</v>
      </c>
      <c r="O6" s="615">
        <f t="shared" ref="O6:O7" si="9">N6*(D6+G6)</f>
        <v>124073.59999999999</v>
      </c>
      <c r="P6" s="613" t="str">
        <f t="shared" si="4"/>
        <v>140 / 927</v>
      </c>
      <c r="Q6" s="613" t="str">
        <f t="shared" si="5"/>
        <v>201 / 929</v>
      </c>
    </row>
    <row r="7" spans="1:19">
      <c r="A7" s="561" t="s">
        <v>370</v>
      </c>
      <c r="B7" s="562">
        <v>155</v>
      </c>
      <c r="C7" s="563">
        <f t="shared" si="6"/>
        <v>1311</v>
      </c>
      <c r="D7" s="564">
        <v>1466</v>
      </c>
      <c r="E7" s="562">
        <v>215</v>
      </c>
      <c r="F7" s="563">
        <f t="shared" si="7"/>
        <v>1257</v>
      </c>
      <c r="G7" s="564">
        <v>1472</v>
      </c>
      <c r="H7" s="522">
        <v>2</v>
      </c>
      <c r="I7" s="132">
        <f t="shared" si="0"/>
        <v>2932</v>
      </c>
      <c r="J7" s="132">
        <f t="shared" si="1"/>
        <v>2944</v>
      </c>
      <c r="K7" s="132">
        <f t="shared" si="8"/>
        <v>5876</v>
      </c>
      <c r="L7" s="133">
        <f t="shared" si="2"/>
        <v>5.2864938608458388E-2</v>
      </c>
      <c r="M7" s="133">
        <f t="shared" si="3"/>
        <v>7.3029891304347824E-2</v>
      </c>
      <c r="N7" s="134">
        <v>71.849999999999994</v>
      </c>
      <c r="O7" s="615">
        <f t="shared" si="9"/>
        <v>211095.3</v>
      </c>
      <c r="P7" s="613" t="str">
        <f t="shared" si="4"/>
        <v>155 / 1466</v>
      </c>
      <c r="Q7" s="613" t="str">
        <f t="shared" si="5"/>
        <v>215 / 1472</v>
      </c>
    </row>
    <row r="8" spans="1:19">
      <c r="A8" s="543">
        <f>COUNT(D5:D7)</f>
        <v>3</v>
      </c>
      <c r="B8" s="136">
        <f>SUM(B5:B7)</f>
        <v>433</v>
      </c>
      <c r="C8" s="137"/>
      <c r="D8" s="136">
        <f>SUM(D5:D7)</f>
        <v>3468</v>
      </c>
      <c r="E8" s="136">
        <f>SUM(E5:E7)</f>
        <v>588</v>
      </c>
      <c r="F8" s="137"/>
      <c r="G8" s="136">
        <f>SUM(G5:G7)</f>
        <v>3465</v>
      </c>
      <c r="H8" s="523">
        <f>K8/(D8+G8)</f>
        <v>1.6192485215635366</v>
      </c>
      <c r="I8" s="138">
        <f>SUM(I5:I7)</f>
        <v>5613.666666666667</v>
      </c>
      <c r="J8" s="138">
        <f>SUM(J5:J7)</f>
        <v>5612.5833333333339</v>
      </c>
      <c r="K8" s="138">
        <f>SUM(K5:K7)</f>
        <v>11226.25</v>
      </c>
      <c r="L8" s="139">
        <f t="shared" si="2"/>
        <v>7.7133186865388031E-2</v>
      </c>
      <c r="M8" s="139">
        <f t="shared" si="3"/>
        <v>0.10476459146857507</v>
      </c>
      <c r="N8" s="140">
        <f>O8/(D8+G8)</f>
        <v>68.814589643732873</v>
      </c>
      <c r="O8" s="616">
        <f>SUM(O5:O7)</f>
        <v>477091.55</v>
      </c>
      <c r="P8" s="617" t="str">
        <f t="shared" si="4"/>
        <v>433 / 3468</v>
      </c>
      <c r="Q8" s="617" t="str">
        <f t="shared" si="5"/>
        <v>588 / 3465</v>
      </c>
    </row>
    <row r="9" spans="1:19" ht="15" thickBot="1">
      <c r="B9" s="1"/>
      <c r="C9" s="1"/>
      <c r="E9" s="141"/>
      <c r="F9" s="11"/>
      <c r="S9" s="117"/>
    </row>
    <row r="10" spans="1:19" ht="15" thickBot="1">
      <c r="B10" s="142" t="s">
        <v>85</v>
      </c>
      <c r="C10" s="143">
        <v>0.16963990984769808</v>
      </c>
      <c r="D10" s="644" t="s">
        <v>86</v>
      </c>
      <c r="E10" s="645"/>
      <c r="F10" s="646"/>
      <c r="S10" s="117"/>
    </row>
    <row r="11" spans="1:19" ht="26.5" thickBot="1">
      <c r="A11" s="144">
        <f>I36</f>
        <v>0.10476459146857507</v>
      </c>
      <c r="B11" s="121" t="s">
        <v>87</v>
      </c>
      <c r="C11" s="15"/>
      <c r="D11" s="145" t="s">
        <v>88</v>
      </c>
      <c r="E11" s="146" t="s">
        <v>89</v>
      </c>
      <c r="F11" s="145" t="s">
        <v>90</v>
      </c>
      <c r="S11" s="117"/>
    </row>
    <row r="12" spans="1:19" ht="15" thickBot="1">
      <c r="A12" s="147">
        <f>E36</f>
        <v>1.6192485215635366</v>
      </c>
      <c r="B12" s="148" t="s">
        <v>91</v>
      </c>
      <c r="C12" s="15"/>
      <c r="D12" s="149">
        <v>0.73541908052138305</v>
      </c>
      <c r="E12" s="150">
        <v>0.65577603320122535</v>
      </c>
      <c r="F12" s="151">
        <v>0.82473639741301052</v>
      </c>
      <c r="G12" s="15"/>
      <c r="S12" s="117"/>
    </row>
    <row r="13" spans="1:19" ht="14.5" hidden="1">
      <c r="A13" s="152"/>
      <c r="B13" s="153"/>
      <c r="C13" s="1"/>
      <c r="S13" s="117"/>
    </row>
    <row r="14" spans="1:19" ht="15" hidden="1" thickBot="1">
      <c r="A14" s="152"/>
      <c r="B14" s="154"/>
      <c r="C14" s="155"/>
      <c r="D14" s="156">
        <f>C10*D12</f>
        <v>0.12475642651992444</v>
      </c>
      <c r="E14" s="157">
        <f>C10*E12</f>
        <v>0.11124578715253694</v>
      </c>
      <c r="F14" s="158">
        <f>C10*F12</f>
        <v>0.13990820810525839</v>
      </c>
      <c r="S14" s="117"/>
    </row>
    <row r="15" spans="1:19" ht="14.5" hidden="1">
      <c r="A15" s="152"/>
      <c r="B15" s="153"/>
      <c r="C15" s="1"/>
      <c r="S15" s="117"/>
    </row>
    <row r="16" spans="1:19" ht="15" hidden="1" thickBot="1">
      <c r="A16" s="152"/>
      <c r="B16" s="159"/>
      <c r="C16" s="160" t="s">
        <v>92</v>
      </c>
      <c r="D16" s="161">
        <f>C10-D14</f>
        <v>4.4883483327773643E-2</v>
      </c>
      <c r="E16" s="162">
        <f>C10-F14</f>
        <v>2.9731701742439692E-2</v>
      </c>
      <c r="F16" s="163">
        <f>C10-E14</f>
        <v>5.8394122695161144E-2</v>
      </c>
      <c r="S16" s="117"/>
    </row>
    <row r="17" spans="1:19" ht="15" hidden="1" thickBot="1">
      <c r="A17" s="152"/>
      <c r="B17" s="164"/>
      <c r="C17" s="165" t="s">
        <v>93</v>
      </c>
      <c r="D17" s="166">
        <f>1/D16</f>
        <v>22.27991069002449</v>
      </c>
      <c r="E17" s="167">
        <f>1/F16</f>
        <v>17.125011111484092</v>
      </c>
      <c r="F17" s="168">
        <f>1/E16</f>
        <v>33.634132639390018</v>
      </c>
      <c r="S17" s="117"/>
    </row>
    <row r="18" spans="1:19" ht="14.5" hidden="1">
      <c r="A18" s="152"/>
      <c r="B18" s="153"/>
      <c r="C18" s="15"/>
      <c r="D18" s="15"/>
      <c r="E18" s="15"/>
      <c r="F18" s="15"/>
      <c r="S18" s="117"/>
    </row>
    <row r="19" spans="1:19" ht="14.5" hidden="1">
      <c r="A19" s="152"/>
      <c r="B19" s="169" t="s">
        <v>94</v>
      </c>
      <c r="C19" s="170"/>
      <c r="D19" s="170"/>
      <c r="E19" s="171">
        <f>ROUND(D12,2)</f>
        <v>0.74</v>
      </c>
      <c r="F19" s="172">
        <f>ROUND(D16,4)</f>
        <v>4.4900000000000002E-2</v>
      </c>
      <c r="G19" s="173">
        <f>ROUND(D17,0)</f>
        <v>22</v>
      </c>
      <c r="S19" s="117"/>
    </row>
    <row r="20" spans="1:19" ht="14.5" hidden="1">
      <c r="A20" s="152"/>
      <c r="B20" s="174" t="s">
        <v>95</v>
      </c>
      <c r="C20" s="175">
        <f>ROUND(D14,4)</f>
        <v>0.12479999999999999</v>
      </c>
      <c r="D20" s="176">
        <f>ROUND(C10,4)</f>
        <v>0.1696</v>
      </c>
      <c r="E20" s="177">
        <f>ROUND(E12,2)</f>
        <v>0.66</v>
      </c>
      <c r="F20" s="178">
        <f>ROUND(E16,4)</f>
        <v>2.9700000000000001E-2</v>
      </c>
      <c r="G20" s="179">
        <f>ROUND(E17,0)</f>
        <v>17</v>
      </c>
      <c r="S20" s="117"/>
    </row>
    <row r="21" spans="1:19" ht="14.5" hidden="1">
      <c r="A21" s="152"/>
      <c r="B21" s="174" t="s">
        <v>96</v>
      </c>
      <c r="C21" s="180"/>
      <c r="D21" s="180"/>
      <c r="E21" s="177">
        <f>ROUND(F12,2)</f>
        <v>0.82</v>
      </c>
      <c r="F21" s="178">
        <f>ROUND(F16,4)</f>
        <v>5.8400000000000001E-2</v>
      </c>
      <c r="G21" s="179">
        <f>ROUND(F17,0)</f>
        <v>34</v>
      </c>
      <c r="S21" s="117"/>
    </row>
    <row r="22" spans="1:19" ht="14.5" hidden="1">
      <c r="A22" s="152"/>
      <c r="B22" s="174" t="s">
        <v>97</v>
      </c>
      <c r="C22" s="181" t="s">
        <v>98</v>
      </c>
      <c r="D22" s="181" t="s">
        <v>99</v>
      </c>
      <c r="E22" s="182" t="s">
        <v>100</v>
      </c>
      <c r="F22" s="182" t="s">
        <v>101</v>
      </c>
      <c r="G22" s="181" t="s">
        <v>93</v>
      </c>
      <c r="S22" s="117"/>
    </row>
    <row r="23" spans="1:19" ht="14.5" hidden="1">
      <c r="A23" s="152"/>
      <c r="B23" s="183" t="s">
        <v>102</v>
      </c>
      <c r="C23" s="181" t="str">
        <f>CONCATENATE(C20*100,B22)</f>
        <v>12,48%</v>
      </c>
      <c r="D23" s="181" t="str">
        <f>CONCATENATE(D20*100,B22)</f>
        <v>16,96%</v>
      </c>
      <c r="E23" s="181" t="str">
        <f>CONCATENATE(E19," ",B19,E20,B20,E21,B21)</f>
        <v>0,74 (0,66-0,82)</v>
      </c>
      <c r="F23" s="181" t="str">
        <f>CONCATENATE(F19*100,B22," ",B19,F20*100,B22," ",B23," ",F21*100,B22,B21)</f>
        <v>4,49% (2,97% a 5,84%)</v>
      </c>
      <c r="G23" s="181" t="str">
        <f>CONCATENATE(G19," ",B19,G20," ",B23," ",G21,B21)</f>
        <v>22 (17 a 34)</v>
      </c>
      <c r="S23" s="117"/>
    </row>
    <row r="24" spans="1:19" ht="14.5" hidden="1">
      <c r="A24" s="184"/>
      <c r="B24" s="153"/>
      <c r="D24" s="112"/>
      <c r="E24" s="112"/>
      <c r="F24" s="112"/>
      <c r="G24" s="112"/>
      <c r="S24" s="117"/>
    </row>
    <row r="25" spans="1:19" ht="15" thickBot="1">
      <c r="A25" s="144">
        <f>A11*A12</f>
        <v>0.16963990984769808</v>
      </c>
      <c r="B25" s="121" t="s">
        <v>103</v>
      </c>
      <c r="C25" s="1"/>
      <c r="S25" s="117"/>
    </row>
    <row r="26" spans="1:19" ht="15" thickBot="1">
      <c r="A26" s="185"/>
      <c r="B26" s="1"/>
      <c r="C26" s="186" t="s">
        <v>104</v>
      </c>
      <c r="D26" s="187" t="s">
        <v>99</v>
      </c>
      <c r="E26" s="187" t="s">
        <v>100</v>
      </c>
      <c r="F26" s="187" t="s">
        <v>92</v>
      </c>
      <c r="G26" s="188" t="s">
        <v>93</v>
      </c>
      <c r="S26" s="117"/>
    </row>
    <row r="27" spans="1:19" ht="26.5" thickBot="1">
      <c r="A27" s="189"/>
      <c r="B27" s="190"/>
      <c r="C27" s="191" t="str">
        <f>C23</f>
        <v>12,48%</v>
      </c>
      <c r="D27" s="192" t="str">
        <f>D23</f>
        <v>16,96%</v>
      </c>
      <c r="E27" s="192" t="str">
        <f>E23</f>
        <v>0,74 (0,66-0,82)</v>
      </c>
      <c r="F27" s="192" t="str">
        <f>F23</f>
        <v>4,49% (2,97% a 5,84%)</v>
      </c>
      <c r="G27" s="193" t="str">
        <f>G23</f>
        <v>22 (17 a 34)</v>
      </c>
      <c r="S27" s="117"/>
    </row>
    <row r="28" spans="1:19" ht="14.5">
      <c r="B28" s="1"/>
      <c r="C28" s="1"/>
      <c r="E28" s="141"/>
      <c r="F28" s="11"/>
      <c r="S28" s="117"/>
    </row>
    <row r="29" spans="1:19" ht="15" thickBot="1">
      <c r="D29" s="141"/>
      <c r="E29" s="141"/>
      <c r="S29" s="117"/>
    </row>
    <row r="30" spans="1:19" ht="35.5" customHeight="1" thickBot="1">
      <c r="A30" s="558" t="s">
        <v>393</v>
      </c>
      <c r="B30" s="194" t="str">
        <f>B2</f>
        <v>Hospitalización por Insuficiencia cardíaca, Subgr [+ - FEVIr,  con DM2], en 19 meses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S30" s="117"/>
    </row>
    <row r="31" spans="1:19" ht="36" customHeight="1" thickBot="1">
      <c r="A31" s="637" t="s">
        <v>105</v>
      </c>
      <c r="B31" s="633" t="s">
        <v>106</v>
      </c>
      <c r="C31" s="639" t="s">
        <v>107</v>
      </c>
      <c r="D31" s="637" t="s">
        <v>233</v>
      </c>
      <c r="E31" s="633" t="s">
        <v>108</v>
      </c>
      <c r="F31" s="633" t="s">
        <v>109</v>
      </c>
      <c r="G31" s="633" t="s">
        <v>110</v>
      </c>
      <c r="H31" s="633" t="s">
        <v>111</v>
      </c>
      <c r="I31" s="633" t="s">
        <v>112</v>
      </c>
      <c r="J31" s="633" t="s">
        <v>113</v>
      </c>
      <c r="K31" s="635" t="s">
        <v>114</v>
      </c>
      <c r="L31" s="625" t="s">
        <v>115</v>
      </c>
      <c r="M31" s="626"/>
      <c r="N31" s="626"/>
      <c r="O31" s="627"/>
      <c r="S31" s="117"/>
    </row>
    <row r="32" spans="1:19" ht="43.5" customHeight="1" thickBot="1">
      <c r="A32" s="638"/>
      <c r="B32" s="634"/>
      <c r="C32" s="640"/>
      <c r="D32" s="638"/>
      <c r="E32" s="634"/>
      <c r="F32" s="634"/>
      <c r="G32" s="634"/>
      <c r="H32" s="634"/>
      <c r="I32" s="634"/>
      <c r="J32" s="634"/>
      <c r="K32" s="636"/>
      <c r="L32" s="197" t="s">
        <v>116</v>
      </c>
      <c r="M32" s="198" t="s">
        <v>92</v>
      </c>
      <c r="N32" s="199" t="s">
        <v>93</v>
      </c>
      <c r="O32" s="200" t="s">
        <v>117</v>
      </c>
      <c r="S32" s="117"/>
    </row>
    <row r="33" spans="1:19" ht="44.5" customHeight="1">
      <c r="A33" s="521">
        <v>8</v>
      </c>
      <c r="B33" s="201" t="str">
        <f>A5</f>
        <v>20191121-ECA DAPA-HF 17m, FEVI 31+42DM [Dapa vs Pl],-MACE. McMurray</v>
      </c>
      <c r="C33" s="202" t="s">
        <v>118</v>
      </c>
      <c r="D33" s="203"/>
      <c r="E33" s="204">
        <f>H5</f>
        <v>1.4166666666666667</v>
      </c>
      <c r="F33" s="205" t="str">
        <f>P5</f>
        <v>138 / 1075</v>
      </c>
      <c r="G33" s="206">
        <f>L5</f>
        <v>9.0615595075239391E-2</v>
      </c>
      <c r="H33" s="205" t="str">
        <f>Q5</f>
        <v>172 / 1064</v>
      </c>
      <c r="I33" s="207">
        <f t="shared" ref="I33:J36" si="10">M5</f>
        <v>0.11410880141530295</v>
      </c>
      <c r="J33" s="208">
        <f t="shared" si="10"/>
        <v>66.349999999999994</v>
      </c>
      <c r="K33" s="209">
        <v>0.30562858925554853</v>
      </c>
      <c r="L33" s="210" t="s">
        <v>318</v>
      </c>
      <c r="M33" s="211" t="s">
        <v>319</v>
      </c>
      <c r="N33" s="212" t="s">
        <v>320</v>
      </c>
      <c r="O33" s="18" t="s">
        <v>292</v>
      </c>
      <c r="Q33" s="27">
        <v>3.5</v>
      </c>
      <c r="R33" s="213">
        <f>Q33*K33</f>
        <v>1.0697000623944199</v>
      </c>
      <c r="S33" s="117"/>
    </row>
    <row r="34" spans="1:19" ht="44.5" customHeight="1">
      <c r="A34" s="214"/>
      <c r="B34" s="201" t="str">
        <f>A6</f>
        <v>20201008-ECA EMPEROR-red 15m, FEVI 27+50DM [Empa vs Pl], -MACE. Packer</v>
      </c>
      <c r="C34" s="202" t="s">
        <v>118</v>
      </c>
      <c r="D34" s="203"/>
      <c r="E34" s="204">
        <f>H6</f>
        <v>1.25</v>
      </c>
      <c r="F34" s="205" t="str">
        <f>P6</f>
        <v>140 / 927</v>
      </c>
      <c r="G34" s="206">
        <f>L6</f>
        <v>0.12081984897518878</v>
      </c>
      <c r="H34" s="205" t="str">
        <f>Q6</f>
        <v>201 / 929</v>
      </c>
      <c r="I34" s="206">
        <f t="shared" si="10"/>
        <v>0.17308934337997847</v>
      </c>
      <c r="J34" s="208">
        <f t="shared" si="10"/>
        <v>66.849999999999994</v>
      </c>
      <c r="K34" s="209">
        <v>0.34328275970678124</v>
      </c>
      <c r="L34" s="210" t="s">
        <v>357</v>
      </c>
      <c r="M34" s="211" t="s">
        <v>322</v>
      </c>
      <c r="N34" s="211" t="s">
        <v>323</v>
      </c>
      <c r="O34" s="18" t="s">
        <v>292</v>
      </c>
      <c r="Q34" s="27">
        <v>3.5</v>
      </c>
      <c r="R34" s="213">
        <f t="shared" ref="R34:R35" si="11">Q34*K34</f>
        <v>1.2014896589737343</v>
      </c>
      <c r="S34" s="117"/>
    </row>
    <row r="35" spans="1:19" ht="44.5" customHeight="1" thickBot="1">
      <c r="A35" s="214"/>
      <c r="B35" s="201" t="str">
        <f>A7</f>
        <v>20211014-ECA Emperor-Pres 24m, FEVI 54+50DM, [Empa vs Pl], -ICC. Anker</v>
      </c>
      <c r="C35" s="202" t="s">
        <v>118</v>
      </c>
      <c r="D35" s="203"/>
      <c r="E35" s="204">
        <f>H7</f>
        <v>2</v>
      </c>
      <c r="F35" s="205" t="str">
        <f>P7</f>
        <v>155 / 1466</v>
      </c>
      <c r="G35" s="206">
        <f>L7</f>
        <v>5.2864938608458388E-2</v>
      </c>
      <c r="H35" s="205" t="str">
        <f>Q7</f>
        <v>215 / 1472</v>
      </c>
      <c r="I35" s="206">
        <f t="shared" si="10"/>
        <v>7.3029891304347824E-2</v>
      </c>
      <c r="J35" s="208">
        <f t="shared" si="10"/>
        <v>71.849999999999994</v>
      </c>
      <c r="K35" s="209">
        <v>0.35108865103767023</v>
      </c>
      <c r="L35" s="210" t="s">
        <v>324</v>
      </c>
      <c r="M35" s="211" t="s">
        <v>325</v>
      </c>
      <c r="N35" s="211" t="s">
        <v>326</v>
      </c>
      <c r="O35" s="18" t="s">
        <v>292</v>
      </c>
      <c r="Q35" s="27">
        <v>3.5</v>
      </c>
      <c r="R35" s="213">
        <f t="shared" si="11"/>
        <v>1.2288102786318458</v>
      </c>
      <c r="S35" s="117"/>
    </row>
    <row r="36" spans="1:19" ht="21.5" thickBot="1">
      <c r="A36" s="215" t="s">
        <v>119</v>
      </c>
      <c r="B36" s="216">
        <f>COUNT(E33:E35)</f>
        <v>3</v>
      </c>
      <c r="C36" s="217"/>
      <c r="D36" s="218" t="s">
        <v>241</v>
      </c>
      <c r="E36" s="219">
        <f>H8</f>
        <v>1.6192485215635366</v>
      </c>
      <c r="F36" s="220" t="str">
        <f>P8</f>
        <v>433 / 3468</v>
      </c>
      <c r="G36" s="221">
        <f>L8</f>
        <v>7.7133186865388031E-2</v>
      </c>
      <c r="H36" s="220" t="str">
        <f>Q8</f>
        <v>588 / 3465</v>
      </c>
      <c r="I36" s="221">
        <f t="shared" si="10"/>
        <v>0.10476459146857507</v>
      </c>
      <c r="J36" s="219">
        <f t="shared" si="10"/>
        <v>68.814589643732873</v>
      </c>
      <c r="K36" s="222">
        <v>1</v>
      </c>
      <c r="L36" s="524" t="s">
        <v>350</v>
      </c>
      <c r="M36" s="223"/>
      <c r="N36" s="224"/>
      <c r="O36" s="494" t="s">
        <v>294</v>
      </c>
      <c r="R36" s="225">
        <f>SUM(R33:R35)</f>
        <v>3.5</v>
      </c>
      <c r="S36" s="117"/>
    </row>
    <row r="37" spans="1:19" ht="21.5" customHeight="1" thickBot="1">
      <c r="A37" s="226"/>
      <c r="B37" s="226"/>
      <c r="C37" s="227"/>
      <c r="D37" s="489" t="s">
        <v>224</v>
      </c>
      <c r="E37" s="229"/>
      <c r="F37" s="230"/>
      <c r="G37" s="231"/>
      <c r="H37" s="230"/>
      <c r="I37" s="232"/>
      <c r="J37" s="233"/>
      <c r="K37" s="490"/>
      <c r="L37" s="491"/>
      <c r="M37" s="492"/>
      <c r="N37" s="608" t="s">
        <v>387</v>
      </c>
      <c r="O37" s="493" t="s">
        <v>293</v>
      </c>
    </row>
    <row r="38" spans="1:19" ht="13.5" thickBot="1">
      <c r="A38" s="226"/>
      <c r="B38" s="226"/>
      <c r="C38" s="227"/>
      <c r="D38" s="228"/>
      <c r="E38" s="229"/>
      <c r="F38" s="230"/>
      <c r="G38" s="231"/>
      <c r="H38" s="230"/>
      <c r="I38" s="232"/>
      <c r="J38" s="233"/>
      <c r="K38" s="234"/>
      <c r="L38" s="223"/>
      <c r="M38" s="224"/>
      <c r="N38" s="224"/>
      <c r="O38" s="234"/>
    </row>
    <row r="39" spans="1:19" ht="47" thickBot="1">
      <c r="A39" s="235"/>
      <c r="B39" s="628" t="s">
        <v>120</v>
      </c>
      <c r="C39" s="629"/>
      <c r="D39" s="629"/>
      <c r="E39" s="629"/>
      <c r="F39" s="629"/>
      <c r="G39" s="629"/>
      <c r="H39" s="629"/>
      <c r="I39" s="630"/>
      <c r="J39" s="236" t="s">
        <v>121</v>
      </c>
      <c r="K39" s="237" t="s">
        <v>122</v>
      </c>
      <c r="L39" s="238" t="s">
        <v>116</v>
      </c>
      <c r="M39" s="239" t="s">
        <v>92</v>
      </c>
      <c r="N39" s="240" t="s">
        <v>93</v>
      </c>
      <c r="O39" s="224"/>
    </row>
    <row r="40" spans="1:19" ht="19.5" customHeight="1">
      <c r="A40" s="631" t="s">
        <v>123</v>
      </c>
      <c r="B40" s="241" t="s">
        <v>124</v>
      </c>
      <c r="C40" s="242">
        <f>I36</f>
        <v>0.10476459146857507</v>
      </c>
      <c r="D40" s="243" t="s">
        <v>125</v>
      </c>
      <c r="E40" s="243"/>
      <c r="F40" s="243"/>
      <c r="G40" s="243"/>
      <c r="H40" s="244">
        <f>J36</f>
        <v>68.814589643732873</v>
      </c>
      <c r="I40" s="245" t="s">
        <v>126</v>
      </c>
      <c r="J40" s="246" t="s">
        <v>348</v>
      </c>
      <c r="K40" s="247" t="s">
        <v>349</v>
      </c>
      <c r="L40" s="525" t="s">
        <v>350</v>
      </c>
      <c r="M40" s="248" t="s">
        <v>351</v>
      </c>
      <c r="N40" s="248" t="s">
        <v>352</v>
      </c>
      <c r="O40" s="249" t="s">
        <v>127</v>
      </c>
    </row>
    <row r="41" spans="1:19" ht="19" thickBot="1">
      <c r="A41" s="632"/>
      <c r="B41" s="250" t="s">
        <v>124</v>
      </c>
      <c r="C41" s="251">
        <f>I36*E36</f>
        <v>0.16963990984769808</v>
      </c>
      <c r="D41" s="252" t="s">
        <v>128</v>
      </c>
      <c r="E41" s="253"/>
      <c r="F41" s="254"/>
      <c r="G41" s="255">
        <f>E36</f>
        <v>1.6192485215635366</v>
      </c>
      <c r="H41" s="252" t="s">
        <v>129</v>
      </c>
      <c r="I41" s="256"/>
      <c r="J41" s="257" t="s">
        <v>353</v>
      </c>
      <c r="K41" s="258" t="s">
        <v>354</v>
      </c>
      <c r="L41" s="526" t="s">
        <v>350</v>
      </c>
      <c r="M41" s="259" t="s">
        <v>355</v>
      </c>
      <c r="N41" s="259" t="s">
        <v>356</v>
      </c>
      <c r="O41" s="260" t="s">
        <v>360</v>
      </c>
      <c r="P41" s="15" t="s">
        <v>359</v>
      </c>
    </row>
    <row r="42" spans="1:19" ht="19" thickBot="1">
      <c r="A42" s="261"/>
      <c r="B42" s="262"/>
      <c r="C42" s="263"/>
      <c r="D42" s="264"/>
      <c r="E42" s="265"/>
      <c r="F42" s="266"/>
      <c r="G42" s="267"/>
      <c r="H42" s="264"/>
      <c r="I42" s="266"/>
      <c r="J42" s="268"/>
      <c r="K42" s="268"/>
      <c r="L42" s="269"/>
      <c r="M42" s="270"/>
      <c r="N42" s="270"/>
      <c r="O42" s="271"/>
    </row>
    <row r="43" spans="1:19" ht="19" thickBot="1">
      <c r="A43" s="272"/>
      <c r="B43" s="272"/>
      <c r="C43" s="234"/>
      <c r="D43" s="234"/>
      <c r="E43" s="234"/>
      <c r="F43" s="234"/>
      <c r="G43" s="234"/>
      <c r="H43" s="234"/>
      <c r="I43" s="273"/>
      <c r="J43" s="274"/>
      <c r="K43" s="275" t="s">
        <v>130</v>
      </c>
      <c r="L43" s="530" t="s">
        <v>358</v>
      </c>
      <c r="M43" s="276"/>
      <c r="N43" s="277"/>
      <c r="O43" s="278"/>
    </row>
    <row r="44" spans="1:19">
      <c r="A44" s="112"/>
      <c r="C44" s="1"/>
      <c r="I44" s="109" t="s">
        <v>131</v>
      </c>
      <c r="J44" s="279">
        <f>G41</f>
        <v>1.6192485215635366</v>
      </c>
      <c r="K44" s="279">
        <f>J44</f>
        <v>1.6192485215635366</v>
      </c>
    </row>
    <row r="45" spans="1:19">
      <c r="A45" s="112"/>
      <c r="C45" s="1"/>
      <c r="I45" s="15"/>
      <c r="J45" s="3" t="s">
        <v>81</v>
      </c>
      <c r="K45" s="3" t="s">
        <v>82</v>
      </c>
      <c r="L45" s="3" t="s">
        <v>132</v>
      </c>
    </row>
    <row r="46" spans="1:19" ht="17">
      <c r="I46" s="280" t="s">
        <v>263</v>
      </c>
      <c r="J46" s="528">
        <f>J40*100*J44</f>
        <v>12.468213616039233</v>
      </c>
      <c r="K46" s="529">
        <f>K40*100*K44</f>
        <v>16.969724505985866</v>
      </c>
      <c r="L46" s="527">
        <f>((J46*I8)+(K46*J8))/K8</f>
        <v>14.718751863070342</v>
      </c>
      <c r="M46" s="281"/>
      <c r="N46" s="28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19">
    <mergeCell ref="B3:D3"/>
    <mergeCell ref="E3:G3"/>
    <mergeCell ref="I3:K3"/>
    <mergeCell ref="L3:M3"/>
    <mergeCell ref="D10:F10"/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</mergeCells>
  <pageMargins left="0.7" right="0.7" top="0.75" bottom="0.75" header="0.3" footer="0.3"/>
  <ignoredErrors>
    <ignoredError sqref="H8" formula="1"/>
    <ignoredError sqref="J40:N40 J41:N4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E639-F5A5-4D70-87DB-628B75012FE7}">
  <dimension ref="A1:U63"/>
  <sheetViews>
    <sheetView zoomScale="70" zoomScaleNormal="70" workbookViewId="0"/>
  </sheetViews>
  <sheetFormatPr baseColWidth="10" defaultColWidth="16" defaultRowHeight="13"/>
  <cols>
    <col min="1" max="1" width="25.0898437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Hospitalización por Insuficiencia cardíaca, Subgr [con FEVIr, sin DM2], en 16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45.5" customHeight="1">
      <c r="A4" s="559" t="s">
        <v>385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93</v>
      </c>
      <c r="C5" s="563">
        <f>D5-B5</f>
        <v>1205</v>
      </c>
      <c r="D5" s="564">
        <v>1298</v>
      </c>
      <c r="E5" s="562">
        <v>146</v>
      </c>
      <c r="F5" s="563">
        <f>G5-E5</f>
        <v>1161</v>
      </c>
      <c r="G5" s="564">
        <v>1307</v>
      </c>
      <c r="H5" s="522">
        <v>1.4166666666666667</v>
      </c>
      <c r="I5" s="132">
        <f t="shared" ref="I5:I6" si="0">D5*H5</f>
        <v>1838.8333333333335</v>
      </c>
      <c r="J5" s="132">
        <f t="shared" ref="J5:J6" si="1">G5*H5</f>
        <v>1851.5833333333335</v>
      </c>
      <c r="K5" s="132">
        <f>I5+J5</f>
        <v>3690.416666666667</v>
      </c>
      <c r="L5" s="133">
        <f t="shared" ref="L5:L7" si="2">B5/I5</f>
        <v>5.0575546089005705E-2</v>
      </c>
      <c r="M5" s="133">
        <f t="shared" ref="M5:M7" si="3">E5/J5</f>
        <v>7.885143345785138E-2</v>
      </c>
      <c r="N5" s="134">
        <v>66.349999999999994</v>
      </c>
      <c r="O5" s="615">
        <f>N5*(D5+G5)</f>
        <v>172841.74999999997</v>
      </c>
      <c r="P5" s="613" t="str">
        <f t="shared" ref="P5:P7" si="4">CONCATENATE(B5," ",$P$4," ",D5)</f>
        <v>93 / 1298</v>
      </c>
      <c r="Q5" s="613" t="str">
        <f t="shared" ref="Q5:Q7" si="5">CONCATENATE(E5," ",$Q$4," ",G5)</f>
        <v>146 / 1307</v>
      </c>
    </row>
    <row r="6" spans="1:19">
      <c r="A6" s="561" t="s">
        <v>230</v>
      </c>
      <c r="B6" s="562">
        <v>106</v>
      </c>
      <c r="C6" s="563">
        <f t="shared" ref="C6" si="6">D6-B6</f>
        <v>830</v>
      </c>
      <c r="D6" s="564">
        <v>936</v>
      </c>
      <c r="E6" s="562">
        <v>141</v>
      </c>
      <c r="F6" s="563">
        <f t="shared" ref="F6" si="7">G6-E6</f>
        <v>797</v>
      </c>
      <c r="G6" s="564">
        <v>938</v>
      </c>
      <c r="H6" s="522">
        <v>1.25</v>
      </c>
      <c r="I6" s="132">
        <f t="shared" si="0"/>
        <v>1170</v>
      </c>
      <c r="J6" s="132">
        <f t="shared" si="1"/>
        <v>1172.5</v>
      </c>
      <c r="K6" s="132">
        <f t="shared" ref="K6" si="8">I6+J6</f>
        <v>2342.5</v>
      </c>
      <c r="L6" s="133">
        <f t="shared" si="2"/>
        <v>9.0598290598290596E-2</v>
      </c>
      <c r="M6" s="133">
        <f t="shared" si="3"/>
        <v>0.12025586353944563</v>
      </c>
      <c r="N6" s="134">
        <v>66.849999999999994</v>
      </c>
      <c r="O6" s="615">
        <f t="shared" ref="O6" si="9">N6*(D6+G6)</f>
        <v>125276.9</v>
      </c>
      <c r="P6" s="613" t="str">
        <f t="shared" si="4"/>
        <v>106 / 936</v>
      </c>
      <c r="Q6" s="613" t="str">
        <f t="shared" si="5"/>
        <v>141 / 938</v>
      </c>
    </row>
    <row r="7" spans="1:19">
      <c r="A7" s="544">
        <f>COUNT(D5:D6)</f>
        <v>2</v>
      </c>
      <c r="B7" s="136">
        <f>SUM(B5:B6)</f>
        <v>199</v>
      </c>
      <c r="C7" s="137"/>
      <c r="D7" s="136">
        <f>SUM(D5:D6)</f>
        <v>2234</v>
      </c>
      <c r="E7" s="136">
        <f>SUM(E5:E6)</f>
        <v>287</v>
      </c>
      <c r="F7" s="137"/>
      <c r="G7" s="136">
        <f>SUM(G5:G6)</f>
        <v>2245</v>
      </c>
      <c r="H7" s="523">
        <f>K7/(D7+G7)</f>
        <v>1.3469338393986754</v>
      </c>
      <c r="I7" s="138">
        <f>SUM(I5:I6)</f>
        <v>3008.8333333333335</v>
      </c>
      <c r="J7" s="138">
        <f>SUM(J5:J6)</f>
        <v>3024.0833333333335</v>
      </c>
      <c r="K7" s="138">
        <f>SUM(K5:K6)</f>
        <v>6032.916666666667</v>
      </c>
      <c r="L7" s="139">
        <f t="shared" si="2"/>
        <v>6.613859192377998E-2</v>
      </c>
      <c r="M7" s="139">
        <f t="shared" si="3"/>
        <v>9.4904792085756015E-2</v>
      </c>
      <c r="N7" s="140">
        <f>O7/(D7+G7)</f>
        <v>66.559198481803961</v>
      </c>
      <c r="O7" s="616">
        <f>SUM(O5:O6)</f>
        <v>298118.64999999997</v>
      </c>
      <c r="P7" s="617" t="str">
        <f t="shared" si="4"/>
        <v>199 / 2234</v>
      </c>
      <c r="Q7" s="617" t="str">
        <f t="shared" si="5"/>
        <v>287 / 2245</v>
      </c>
    </row>
    <row r="8" spans="1:19" ht="15" thickBot="1">
      <c r="B8" s="1"/>
      <c r="C8" s="1"/>
      <c r="E8" s="141"/>
      <c r="F8" s="11"/>
      <c r="S8" s="117"/>
    </row>
    <row r="9" spans="1:19" ht="15" thickBot="1">
      <c r="B9" s="142" t="s">
        <v>85</v>
      </c>
      <c r="C9" s="143">
        <v>0.12783047598140038</v>
      </c>
      <c r="D9" s="644" t="s">
        <v>86</v>
      </c>
      <c r="E9" s="645"/>
      <c r="F9" s="646"/>
      <c r="S9" s="117"/>
    </row>
    <row r="10" spans="1:19" ht="26.5" thickBot="1">
      <c r="A10" s="144">
        <f>I34</f>
        <v>9.4904792085756015E-2</v>
      </c>
      <c r="B10" s="121" t="s">
        <v>87</v>
      </c>
      <c r="C10" s="15"/>
      <c r="D10" s="145" t="s">
        <v>88</v>
      </c>
      <c r="E10" s="146" t="s">
        <v>89</v>
      </c>
      <c r="F10" s="145" t="s">
        <v>90</v>
      </c>
      <c r="S10" s="117"/>
    </row>
    <row r="11" spans="1:19" ht="15" thickBot="1">
      <c r="A11" s="147">
        <f>E34</f>
        <v>1.3469338393986754</v>
      </c>
      <c r="B11" s="148" t="s">
        <v>91</v>
      </c>
      <c r="C11" s="15"/>
      <c r="D11" s="149">
        <v>0.69822222904071762</v>
      </c>
      <c r="E11" s="150">
        <v>0.58861193174548421</v>
      </c>
      <c r="F11" s="151">
        <v>0.82824656561804311</v>
      </c>
      <c r="G11" s="15"/>
      <c r="S11" s="117"/>
    </row>
    <row r="12" spans="1:19" ht="14.5" hidden="1">
      <c r="A12" s="152"/>
      <c r="B12" s="153"/>
      <c r="C12" s="1"/>
      <c r="S12" s="117"/>
    </row>
    <row r="13" spans="1:19" ht="15" hidden="1" thickBot="1">
      <c r="A13" s="152"/>
      <c r="B13" s="154"/>
      <c r="C13" s="155"/>
      <c r="D13" s="156">
        <f>C9*D11</f>
        <v>8.925407987906929E-2</v>
      </c>
      <c r="E13" s="157">
        <f>C9*E11</f>
        <v>7.5242543403356801E-2</v>
      </c>
      <c r="F13" s="158">
        <f>C9*F11</f>
        <v>0.10587515271291462</v>
      </c>
      <c r="S13" s="117"/>
    </row>
    <row r="14" spans="1:19" ht="14.5" hidden="1">
      <c r="A14" s="152"/>
      <c r="B14" s="153"/>
      <c r="C14" s="1"/>
      <c r="S14" s="117"/>
    </row>
    <row r="15" spans="1:19" ht="15" hidden="1" thickBot="1">
      <c r="A15" s="152"/>
      <c r="B15" s="159"/>
      <c r="C15" s="160" t="s">
        <v>92</v>
      </c>
      <c r="D15" s="161">
        <f>C9-D13</f>
        <v>3.8576396102331087E-2</v>
      </c>
      <c r="E15" s="162">
        <f>C9-F13</f>
        <v>2.195532326848576E-2</v>
      </c>
      <c r="F15" s="163">
        <f>C9-E13</f>
        <v>5.2587932578043575E-2</v>
      </c>
      <c r="S15" s="117"/>
    </row>
    <row r="16" spans="1:19" ht="15" hidden="1" thickBot="1">
      <c r="A16" s="152"/>
      <c r="B16" s="164"/>
      <c r="C16" s="165" t="s">
        <v>93</v>
      </c>
      <c r="D16" s="166">
        <f>1/D15</f>
        <v>25.922587411932245</v>
      </c>
      <c r="E16" s="167">
        <f>1/F15</f>
        <v>19.015769416604112</v>
      </c>
      <c r="F16" s="168">
        <f>1/E15</f>
        <v>45.547040586525107</v>
      </c>
      <c r="S16" s="117"/>
    </row>
    <row r="17" spans="1:19" ht="14.5" hidden="1">
      <c r="A17" s="152"/>
      <c r="B17" s="153"/>
      <c r="C17" s="15"/>
      <c r="D17" s="15"/>
      <c r="E17" s="15"/>
      <c r="F17" s="15"/>
      <c r="S17" s="117"/>
    </row>
    <row r="18" spans="1:19" ht="14.5" hidden="1">
      <c r="A18" s="152"/>
      <c r="B18" s="169" t="s">
        <v>94</v>
      </c>
      <c r="C18" s="170"/>
      <c r="D18" s="170"/>
      <c r="E18" s="171">
        <f>ROUND(D11,2)</f>
        <v>0.7</v>
      </c>
      <c r="F18" s="172">
        <f>ROUND(D15,4)</f>
        <v>3.8600000000000002E-2</v>
      </c>
      <c r="G18" s="173">
        <f>ROUND(D16,0)</f>
        <v>26</v>
      </c>
      <c r="S18" s="117"/>
    </row>
    <row r="19" spans="1:19" ht="14.5" hidden="1">
      <c r="A19" s="152"/>
      <c r="B19" s="174" t="s">
        <v>95</v>
      </c>
      <c r="C19" s="175">
        <f>ROUND(D13,4)</f>
        <v>8.9300000000000004E-2</v>
      </c>
      <c r="D19" s="176">
        <f>ROUND(C9,4)</f>
        <v>0.1278</v>
      </c>
      <c r="E19" s="177">
        <f>ROUND(E11,2)</f>
        <v>0.59</v>
      </c>
      <c r="F19" s="178">
        <f>ROUND(E15,4)</f>
        <v>2.1999999999999999E-2</v>
      </c>
      <c r="G19" s="179">
        <f>ROUND(E16,0)</f>
        <v>19</v>
      </c>
      <c r="S19" s="117"/>
    </row>
    <row r="20" spans="1:19" ht="14.5" hidden="1">
      <c r="A20" s="152"/>
      <c r="B20" s="174" t="s">
        <v>96</v>
      </c>
      <c r="C20" s="180"/>
      <c r="D20" s="180"/>
      <c r="E20" s="177">
        <f>ROUND(F11,2)</f>
        <v>0.83</v>
      </c>
      <c r="F20" s="178">
        <f>ROUND(F15,4)</f>
        <v>5.2600000000000001E-2</v>
      </c>
      <c r="G20" s="179">
        <f>ROUND(F16,0)</f>
        <v>46</v>
      </c>
      <c r="S20" s="117"/>
    </row>
    <row r="21" spans="1:19" ht="14.5" hidden="1">
      <c r="A21" s="152"/>
      <c r="B21" s="174" t="s">
        <v>97</v>
      </c>
      <c r="C21" s="181" t="s">
        <v>98</v>
      </c>
      <c r="D21" s="181" t="s">
        <v>99</v>
      </c>
      <c r="E21" s="182" t="s">
        <v>100</v>
      </c>
      <c r="F21" s="182" t="s">
        <v>101</v>
      </c>
      <c r="G21" s="181" t="s">
        <v>93</v>
      </c>
      <c r="S21" s="117"/>
    </row>
    <row r="22" spans="1:19" ht="14.5" hidden="1">
      <c r="A22" s="152"/>
      <c r="B22" s="183" t="s">
        <v>102</v>
      </c>
      <c r="C22" s="181" t="str">
        <f>CONCATENATE(C19*100,B21)</f>
        <v>8,93%</v>
      </c>
      <c r="D22" s="181" t="str">
        <f>CONCATENATE(D19*100,B21)</f>
        <v>12,78%</v>
      </c>
      <c r="E22" s="181" t="str">
        <f>CONCATENATE(E18," ",B18,E19,B19,E20,B20)</f>
        <v>0,7 (0,59-0,83)</v>
      </c>
      <c r="F22" s="181" t="str">
        <f>CONCATENATE(F18*100,B21," ",B18,F19*100,B21," ",B22," ",F20*100,B21,B20)</f>
        <v>3,86% (2,2% a 5,26%)</v>
      </c>
      <c r="G22" s="181" t="str">
        <f>CONCATENATE(G18," ",B18,G19," ",B22," ",G20,B20)</f>
        <v>26 (19 a 46)</v>
      </c>
      <c r="S22" s="117"/>
    </row>
    <row r="23" spans="1:19" ht="14.5" hidden="1">
      <c r="A23" s="184"/>
      <c r="B23" s="153"/>
      <c r="D23" s="112"/>
      <c r="E23" s="112"/>
      <c r="F23" s="112"/>
      <c r="G23" s="112"/>
      <c r="S23" s="117"/>
    </row>
    <row r="24" spans="1:19" ht="15" thickBot="1">
      <c r="A24" s="144">
        <f>A10*A11</f>
        <v>0.12783047598140038</v>
      </c>
      <c r="B24" s="121" t="s">
        <v>103</v>
      </c>
      <c r="C24" s="1"/>
      <c r="S24" s="117"/>
    </row>
    <row r="25" spans="1:19" ht="15" thickBot="1">
      <c r="A25" s="185"/>
      <c r="B25" s="1"/>
      <c r="C25" s="186" t="s">
        <v>104</v>
      </c>
      <c r="D25" s="187" t="s">
        <v>99</v>
      </c>
      <c r="E25" s="187" t="s">
        <v>100</v>
      </c>
      <c r="F25" s="187" t="s">
        <v>92</v>
      </c>
      <c r="G25" s="188" t="s">
        <v>93</v>
      </c>
      <c r="S25" s="117"/>
    </row>
    <row r="26" spans="1:19" ht="26.5" thickBot="1">
      <c r="A26" s="189"/>
      <c r="B26" s="190"/>
      <c r="C26" s="191" t="str">
        <f>C22</f>
        <v>8,93%</v>
      </c>
      <c r="D26" s="192" t="str">
        <f>D22</f>
        <v>12,78%</v>
      </c>
      <c r="E26" s="192" t="str">
        <f>E22</f>
        <v>0,7 (0,59-0,83)</v>
      </c>
      <c r="F26" s="192" t="str">
        <f>F22</f>
        <v>3,86% (2,2% a 5,26%)</v>
      </c>
      <c r="G26" s="193" t="str">
        <f>G22</f>
        <v>26 (19 a 46)</v>
      </c>
      <c r="S26" s="117"/>
    </row>
    <row r="27" spans="1:19" ht="14.5">
      <c r="B27" s="1"/>
      <c r="C27" s="1"/>
      <c r="E27" s="141"/>
      <c r="F27" s="11"/>
      <c r="S27" s="117"/>
    </row>
    <row r="28" spans="1:19" ht="15" thickBot="1">
      <c r="D28" s="141"/>
      <c r="E28" s="141"/>
      <c r="S28" s="117"/>
    </row>
    <row r="29" spans="1:19" ht="38.5" customHeight="1" thickBot="1">
      <c r="A29" s="558" t="s">
        <v>395</v>
      </c>
      <c r="B29" s="194" t="str">
        <f>B2</f>
        <v>Hospitalización por Insuficiencia cardíaca, Subgr [con FEVIr, sin DM2], en 16 meses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S29" s="117"/>
    </row>
    <row r="30" spans="1:19" ht="36" customHeight="1" thickBot="1">
      <c r="A30" s="637" t="s">
        <v>105</v>
      </c>
      <c r="B30" s="633" t="s">
        <v>106</v>
      </c>
      <c r="C30" s="639" t="s">
        <v>107</v>
      </c>
      <c r="D30" s="637" t="s">
        <v>233</v>
      </c>
      <c r="E30" s="633" t="s">
        <v>108</v>
      </c>
      <c r="F30" s="633" t="s">
        <v>109</v>
      </c>
      <c r="G30" s="633" t="s">
        <v>110</v>
      </c>
      <c r="H30" s="633" t="s">
        <v>111</v>
      </c>
      <c r="I30" s="633" t="s">
        <v>112</v>
      </c>
      <c r="J30" s="633" t="s">
        <v>113</v>
      </c>
      <c r="K30" s="635" t="s">
        <v>114</v>
      </c>
      <c r="L30" s="625" t="s">
        <v>115</v>
      </c>
      <c r="M30" s="626"/>
      <c r="N30" s="626"/>
      <c r="O30" s="627"/>
      <c r="S30" s="117"/>
    </row>
    <row r="31" spans="1:19" ht="43.5" customHeight="1" thickBot="1">
      <c r="A31" s="638"/>
      <c r="B31" s="634"/>
      <c r="C31" s="640"/>
      <c r="D31" s="638"/>
      <c r="E31" s="634"/>
      <c r="F31" s="634"/>
      <c r="G31" s="634"/>
      <c r="H31" s="634"/>
      <c r="I31" s="634"/>
      <c r="J31" s="634"/>
      <c r="K31" s="636"/>
      <c r="L31" s="197" t="s">
        <v>116</v>
      </c>
      <c r="M31" s="198" t="s">
        <v>92</v>
      </c>
      <c r="N31" s="199" t="s">
        <v>93</v>
      </c>
      <c r="O31" s="200" t="s">
        <v>117</v>
      </c>
      <c r="S31" s="117"/>
    </row>
    <row r="32" spans="1:19" ht="44.5" customHeight="1">
      <c r="A32" s="521">
        <v>8</v>
      </c>
      <c r="B32" s="201" t="str">
        <f>A5</f>
        <v>20191121-ECA DAPA-HF 17m, FEVI 31+42DM [Dapa vs Pl],-MACE. McMurray</v>
      </c>
      <c r="C32" s="202" t="s">
        <v>118</v>
      </c>
      <c r="D32" s="203"/>
      <c r="E32" s="204">
        <f>H5</f>
        <v>1.4166666666666667</v>
      </c>
      <c r="F32" s="205" t="str">
        <f>P5</f>
        <v>93 / 1298</v>
      </c>
      <c r="G32" s="206">
        <f>L5</f>
        <v>5.0575546089005705E-2</v>
      </c>
      <c r="H32" s="205" t="str">
        <f>Q5</f>
        <v>146 / 1307</v>
      </c>
      <c r="I32" s="207">
        <f t="shared" ref="I32:J34" si="10">M5</f>
        <v>7.885143345785138E-2</v>
      </c>
      <c r="J32" s="208">
        <f t="shared" si="10"/>
        <v>66.349999999999994</v>
      </c>
      <c r="K32" s="209">
        <v>0.47250672044677561</v>
      </c>
      <c r="L32" s="210" t="s">
        <v>302</v>
      </c>
      <c r="M32" s="211" t="s">
        <v>303</v>
      </c>
      <c r="N32" s="212" t="s">
        <v>304</v>
      </c>
      <c r="O32" s="18" t="s">
        <v>292</v>
      </c>
      <c r="Q32" s="27">
        <v>3.5</v>
      </c>
      <c r="R32" s="213">
        <f>Q32*K32</f>
        <v>1.6537735215637146</v>
      </c>
      <c r="S32" s="117"/>
    </row>
    <row r="33" spans="1:21" ht="44.5" customHeight="1" thickBot="1">
      <c r="A33" s="214"/>
      <c r="B33" s="201" t="str">
        <f>A6</f>
        <v>20201008-ECA EMPEROR-red 15m, FEVI 27+50DM [Empa vs Pl], -MACE. Packer</v>
      </c>
      <c r="C33" s="202" t="s">
        <v>118</v>
      </c>
      <c r="D33" s="203"/>
      <c r="E33" s="204">
        <f>H6</f>
        <v>1.25</v>
      </c>
      <c r="F33" s="205" t="str">
        <f>P6</f>
        <v>106 / 936</v>
      </c>
      <c r="G33" s="206">
        <f>L6</f>
        <v>9.0598290598290596E-2</v>
      </c>
      <c r="H33" s="205" t="str">
        <f>Q6</f>
        <v>141 / 938</v>
      </c>
      <c r="I33" s="206">
        <f t="shared" si="10"/>
        <v>0.12025586353944563</v>
      </c>
      <c r="J33" s="208">
        <f t="shared" si="10"/>
        <v>66.849999999999994</v>
      </c>
      <c r="K33" s="209">
        <v>0.52749327955322434</v>
      </c>
      <c r="L33" s="210" t="s">
        <v>305</v>
      </c>
      <c r="M33" s="211" t="s">
        <v>306</v>
      </c>
      <c r="N33" s="211" t="s">
        <v>307</v>
      </c>
      <c r="O33" s="18" t="s">
        <v>292</v>
      </c>
      <c r="Q33" s="27">
        <v>3.5</v>
      </c>
      <c r="R33" s="213">
        <f t="shared" ref="R33" si="11">Q33*K33</f>
        <v>1.8462264784362852</v>
      </c>
      <c r="S33" s="117"/>
    </row>
    <row r="34" spans="1:21" ht="21.5" thickBot="1">
      <c r="A34" s="215" t="s">
        <v>119</v>
      </c>
      <c r="B34" s="216">
        <f>COUNT(E32:E33)</f>
        <v>2</v>
      </c>
      <c r="C34" s="217"/>
      <c r="D34" s="218" t="s">
        <v>241</v>
      </c>
      <c r="E34" s="219">
        <f>H7</f>
        <v>1.3469338393986754</v>
      </c>
      <c r="F34" s="220" t="str">
        <f>P7</f>
        <v>199 / 2234</v>
      </c>
      <c r="G34" s="221">
        <f>L7</f>
        <v>6.613859192377998E-2</v>
      </c>
      <c r="H34" s="220" t="str">
        <f>Q7</f>
        <v>287 / 2245</v>
      </c>
      <c r="I34" s="221">
        <f t="shared" si="10"/>
        <v>9.4904792085756015E-2</v>
      </c>
      <c r="J34" s="219">
        <f t="shared" si="10"/>
        <v>66.559198481803961</v>
      </c>
      <c r="K34" s="222">
        <v>1</v>
      </c>
      <c r="L34" s="524" t="s">
        <v>334</v>
      </c>
      <c r="M34" s="223"/>
      <c r="N34" s="224"/>
      <c r="O34" s="494" t="s">
        <v>294</v>
      </c>
      <c r="R34" s="225">
        <f>SUM(R32:R33)</f>
        <v>3.5</v>
      </c>
      <c r="S34" s="117"/>
    </row>
    <row r="35" spans="1:21" ht="29.5" customHeight="1" thickBot="1">
      <c r="A35" s="226"/>
      <c r="B35" s="226"/>
      <c r="C35" s="227"/>
      <c r="D35" s="489" t="s">
        <v>224</v>
      </c>
      <c r="E35" s="229"/>
      <c r="F35" s="230"/>
      <c r="G35" s="231"/>
      <c r="H35" s="230"/>
      <c r="I35" s="232"/>
      <c r="J35" s="233"/>
      <c r="K35" s="490"/>
      <c r="L35" s="649" t="s">
        <v>489</v>
      </c>
      <c r="M35" s="649"/>
      <c r="N35" s="650"/>
      <c r="O35" s="556" t="s">
        <v>293</v>
      </c>
      <c r="P35" s="557"/>
      <c r="Q35" s="557"/>
      <c r="R35" s="557"/>
      <c r="S35" s="557"/>
      <c r="T35" s="557"/>
      <c r="U35" s="557"/>
    </row>
    <row r="36" spans="1:21" ht="13.5" thickBot="1">
      <c r="A36" s="226"/>
      <c r="B36" s="226"/>
      <c r="C36" s="227"/>
      <c r="D36" s="228"/>
      <c r="E36" s="229"/>
      <c r="F36" s="230"/>
      <c r="G36" s="231"/>
      <c r="H36" s="230"/>
      <c r="I36" s="232"/>
      <c r="J36" s="233"/>
      <c r="K36" s="234"/>
      <c r="L36" s="223"/>
      <c r="M36" s="224"/>
      <c r="N36" s="224"/>
      <c r="O36" s="234"/>
    </row>
    <row r="37" spans="1:21" ht="47" thickBot="1">
      <c r="A37" s="235"/>
      <c r="B37" s="628" t="s">
        <v>120</v>
      </c>
      <c r="C37" s="629"/>
      <c r="D37" s="629"/>
      <c r="E37" s="629"/>
      <c r="F37" s="629"/>
      <c r="G37" s="629"/>
      <c r="H37" s="629"/>
      <c r="I37" s="630"/>
      <c r="J37" s="236" t="s">
        <v>121</v>
      </c>
      <c r="K37" s="237" t="s">
        <v>122</v>
      </c>
      <c r="L37" s="238" t="s">
        <v>116</v>
      </c>
      <c r="M37" s="239" t="s">
        <v>92</v>
      </c>
      <c r="N37" s="240" t="s">
        <v>93</v>
      </c>
      <c r="O37" s="224"/>
    </row>
    <row r="38" spans="1:21" ht="19.5" customHeight="1">
      <c r="A38" s="631" t="s">
        <v>123</v>
      </c>
      <c r="B38" s="241" t="s">
        <v>124</v>
      </c>
      <c r="C38" s="242">
        <f>I34</f>
        <v>9.4904792085756015E-2</v>
      </c>
      <c r="D38" s="243" t="s">
        <v>125</v>
      </c>
      <c r="E38" s="243"/>
      <c r="F38" s="243"/>
      <c r="G38" s="243"/>
      <c r="H38" s="244">
        <f>J34</f>
        <v>66.559198481803961</v>
      </c>
      <c r="I38" s="245" t="s">
        <v>126</v>
      </c>
      <c r="J38" s="246">
        <v>6.6299999999999998E-2</v>
      </c>
      <c r="K38" s="247">
        <v>9.4899999999999998E-2</v>
      </c>
      <c r="L38" s="525" t="s">
        <v>334</v>
      </c>
      <c r="M38" s="248" t="s">
        <v>327</v>
      </c>
      <c r="N38" s="248" t="s">
        <v>328</v>
      </c>
      <c r="O38" s="249" t="s">
        <v>127</v>
      </c>
    </row>
    <row r="39" spans="1:21" ht="19" thickBot="1">
      <c r="A39" s="632"/>
      <c r="B39" s="250" t="s">
        <v>124</v>
      </c>
      <c r="C39" s="251">
        <f>I34*E34</f>
        <v>0.12783047598140038</v>
      </c>
      <c r="D39" s="252" t="s">
        <v>128</v>
      </c>
      <c r="E39" s="253"/>
      <c r="F39" s="254"/>
      <c r="G39" s="255">
        <f>E34</f>
        <v>1.3469338393986754</v>
      </c>
      <c r="H39" s="252" t="s">
        <v>129</v>
      </c>
      <c r="I39" s="256"/>
      <c r="J39" s="257">
        <v>8.9300000000000004E-2</v>
      </c>
      <c r="K39" s="258">
        <v>0.1278</v>
      </c>
      <c r="L39" s="526" t="s">
        <v>334</v>
      </c>
      <c r="M39" s="259" t="s">
        <v>329</v>
      </c>
      <c r="N39" s="259" t="s">
        <v>330</v>
      </c>
      <c r="O39" s="260" t="s">
        <v>332</v>
      </c>
      <c r="P39" s="15" t="s">
        <v>333</v>
      </c>
    </row>
    <row r="40" spans="1:21" ht="19" thickBot="1">
      <c r="A40" s="261"/>
      <c r="B40" s="262"/>
      <c r="C40" s="263"/>
      <c r="D40" s="264"/>
      <c r="E40" s="265"/>
      <c r="F40" s="266"/>
      <c r="G40" s="267"/>
      <c r="H40" s="264"/>
      <c r="I40" s="266"/>
      <c r="J40" s="268"/>
      <c r="K40" s="268"/>
      <c r="L40" s="269"/>
      <c r="M40" s="270"/>
      <c r="N40" s="270"/>
      <c r="O40" s="271"/>
    </row>
    <row r="41" spans="1:21" ht="19" thickBot="1">
      <c r="A41" s="272"/>
      <c r="B41" s="272"/>
      <c r="C41" s="234"/>
      <c r="D41" s="234"/>
      <c r="E41" s="234"/>
      <c r="F41" s="234"/>
      <c r="G41" s="234"/>
      <c r="H41" s="234"/>
      <c r="I41" s="273"/>
      <c r="J41" s="274"/>
      <c r="K41" s="275" t="s">
        <v>130</v>
      </c>
      <c r="L41" s="530" t="s">
        <v>331</v>
      </c>
      <c r="M41" s="276"/>
      <c r="N41" s="277"/>
      <c r="O41" s="278"/>
    </row>
    <row r="42" spans="1:21">
      <c r="A42" s="112"/>
      <c r="C42" s="1"/>
      <c r="I42" s="109" t="s">
        <v>131</v>
      </c>
      <c r="J42" s="279">
        <f>G39</f>
        <v>1.3469338393986754</v>
      </c>
      <c r="K42" s="279">
        <f>J42</f>
        <v>1.3469338393986754</v>
      </c>
    </row>
    <row r="43" spans="1:21">
      <c r="A43" s="112"/>
      <c r="C43" s="1"/>
      <c r="I43" s="15"/>
      <c r="J43" s="3" t="s">
        <v>81</v>
      </c>
      <c r="K43" s="3" t="s">
        <v>82</v>
      </c>
      <c r="L43" s="3" t="s">
        <v>132</v>
      </c>
    </row>
    <row r="44" spans="1:21" ht="17">
      <c r="I44" s="280" t="s">
        <v>263</v>
      </c>
      <c r="J44" s="528">
        <f>J38*100*J42</f>
        <v>8.9301713552132185</v>
      </c>
      <c r="K44" s="529">
        <f>K38*100*K42</f>
        <v>12.782402135893429</v>
      </c>
      <c r="L44" s="527">
        <f>((J44*I7)+(K44*J7))/K7</f>
        <v>10.86115557788197</v>
      </c>
      <c r="M44" s="281"/>
      <c r="N44" s="281"/>
    </row>
    <row r="45" spans="1:21">
      <c r="B45" s="1"/>
      <c r="C45" s="1"/>
    </row>
    <row r="46" spans="1:21">
      <c r="B46" s="1"/>
      <c r="C46" s="1"/>
    </row>
    <row r="47" spans="1:21">
      <c r="B47" s="1"/>
      <c r="C47" s="1"/>
    </row>
    <row r="48" spans="1:21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</sheetData>
  <mergeCells count="20">
    <mergeCell ref="L30:O30"/>
    <mergeCell ref="B37:I37"/>
    <mergeCell ref="A38:A39"/>
    <mergeCell ref="F30:F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  <mergeCell ref="L35:N35"/>
    <mergeCell ref="B3:D3"/>
    <mergeCell ref="E3:G3"/>
    <mergeCell ref="I3:K3"/>
    <mergeCell ref="L3:M3"/>
    <mergeCell ref="D9:F9"/>
  </mergeCells>
  <pageMargins left="0.7" right="0.7" top="0.75" bottom="0.75" header="0.3" footer="0.3"/>
  <ignoredErrors>
    <ignoredError sqref="H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C708-A43F-4672-B781-956EC8DE9627}">
  <dimension ref="A1:S63"/>
  <sheetViews>
    <sheetView zoomScale="70" zoomScaleNormal="70" workbookViewId="0"/>
  </sheetViews>
  <sheetFormatPr baseColWidth="10" defaultColWidth="16" defaultRowHeight="13"/>
  <cols>
    <col min="1" max="1" width="24.5429687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Hospitalización por Insuficiencia cardíaca, Subgr [con FEVIr, con DM2], en 16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41.5" customHeight="1">
      <c r="A4" s="559" t="s">
        <v>386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138</v>
      </c>
      <c r="C5" s="563">
        <f>D5-B5</f>
        <v>937</v>
      </c>
      <c r="D5" s="564">
        <v>1075</v>
      </c>
      <c r="E5" s="562">
        <v>172</v>
      </c>
      <c r="F5" s="563">
        <f>G5-E5</f>
        <v>892</v>
      </c>
      <c r="G5" s="564">
        <v>1064</v>
      </c>
      <c r="H5" s="522">
        <v>1.4166666666666667</v>
      </c>
      <c r="I5" s="132">
        <f t="shared" ref="I5:I6" si="0">D5*H5</f>
        <v>1522.9166666666667</v>
      </c>
      <c r="J5" s="132">
        <f t="shared" ref="J5:J6" si="1">G5*H5</f>
        <v>1507.3333333333335</v>
      </c>
      <c r="K5" s="132">
        <f>I5+J5</f>
        <v>3030.25</v>
      </c>
      <c r="L5" s="133">
        <f t="shared" ref="L5:L7" si="2">B5/I5</f>
        <v>9.0615595075239391E-2</v>
      </c>
      <c r="M5" s="133">
        <f t="shared" ref="M5:M7" si="3">E5/J5</f>
        <v>0.11410880141530295</v>
      </c>
      <c r="N5" s="134">
        <v>66.349999999999994</v>
      </c>
      <c r="O5" s="615">
        <f>N5*(D5+G5)</f>
        <v>141922.65</v>
      </c>
      <c r="P5" s="613" t="str">
        <f t="shared" ref="P5:P7" si="4">CONCATENATE(B5," ",$P$4," ",D5)</f>
        <v>138 / 1075</v>
      </c>
      <c r="Q5" s="613" t="str">
        <f t="shared" ref="Q5:Q7" si="5">CONCATENATE(E5," ",$Q$4," ",G5)</f>
        <v>172 / 1064</v>
      </c>
    </row>
    <row r="6" spans="1:19">
      <c r="A6" s="561" t="s">
        <v>230</v>
      </c>
      <c r="B6" s="562">
        <v>140</v>
      </c>
      <c r="C6" s="563">
        <f t="shared" ref="C6" si="6">D6-B6</f>
        <v>787</v>
      </c>
      <c r="D6" s="564">
        <v>927</v>
      </c>
      <c r="E6" s="562">
        <v>201</v>
      </c>
      <c r="F6" s="563">
        <f t="shared" ref="F6" si="7">G6-E6</f>
        <v>728</v>
      </c>
      <c r="G6" s="564">
        <v>929</v>
      </c>
      <c r="H6" s="522">
        <v>1.25</v>
      </c>
      <c r="I6" s="132">
        <f t="shared" si="0"/>
        <v>1158.75</v>
      </c>
      <c r="J6" s="132">
        <f t="shared" si="1"/>
        <v>1161.25</v>
      </c>
      <c r="K6" s="132">
        <f t="shared" ref="K6" si="8">I6+J6</f>
        <v>2320</v>
      </c>
      <c r="L6" s="133">
        <f t="shared" si="2"/>
        <v>0.12081984897518878</v>
      </c>
      <c r="M6" s="133">
        <f t="shared" si="3"/>
        <v>0.17308934337997847</v>
      </c>
      <c r="N6" s="134">
        <v>66.849999999999994</v>
      </c>
      <c r="O6" s="615">
        <f t="shared" ref="O6" si="9">N6*(D6+G6)</f>
        <v>124073.59999999999</v>
      </c>
      <c r="P6" s="613" t="str">
        <f t="shared" si="4"/>
        <v>140 / 927</v>
      </c>
      <c r="Q6" s="613" t="str">
        <f t="shared" si="5"/>
        <v>201 / 929</v>
      </c>
    </row>
    <row r="7" spans="1:19">
      <c r="A7" s="546">
        <f>COUNT(D5:D6)</f>
        <v>2</v>
      </c>
      <c r="B7" s="136">
        <f>SUM(B5:B6)</f>
        <v>278</v>
      </c>
      <c r="C7" s="137"/>
      <c r="D7" s="136">
        <f>SUM(D5:D6)</f>
        <v>2002</v>
      </c>
      <c r="E7" s="136">
        <f>SUM(E5:E6)</f>
        <v>373</v>
      </c>
      <c r="F7" s="137"/>
      <c r="G7" s="136">
        <f>SUM(G5:G6)</f>
        <v>1993</v>
      </c>
      <c r="H7" s="523">
        <f>K7/(D7+G7)</f>
        <v>1.3392365456821027</v>
      </c>
      <c r="I7" s="138">
        <f>SUM(I5:I6)</f>
        <v>2681.666666666667</v>
      </c>
      <c r="J7" s="138">
        <f>SUM(J5:J6)</f>
        <v>2668.5833333333335</v>
      </c>
      <c r="K7" s="138">
        <f>SUM(K5:K6)</f>
        <v>5350.25</v>
      </c>
      <c r="L7" s="139">
        <f t="shared" si="2"/>
        <v>0.10366687383467992</v>
      </c>
      <c r="M7" s="139">
        <f t="shared" si="3"/>
        <v>0.13977453705149423</v>
      </c>
      <c r="N7" s="140">
        <f>O7/(D7+G7)</f>
        <v>66.582290362953685</v>
      </c>
      <c r="O7" s="616">
        <f>SUM(O5:O6)</f>
        <v>265996.25</v>
      </c>
      <c r="P7" s="617" t="str">
        <f t="shared" si="4"/>
        <v>278 / 2002</v>
      </c>
      <c r="Q7" s="617" t="str">
        <f t="shared" si="5"/>
        <v>373 / 1993</v>
      </c>
    </row>
    <row r="8" spans="1:19" ht="15" thickBot="1">
      <c r="B8" s="1"/>
      <c r="C8" s="1"/>
      <c r="E8" s="141"/>
      <c r="F8" s="11"/>
      <c r="S8" s="117"/>
    </row>
    <row r="9" spans="1:19" ht="15" thickBot="1">
      <c r="B9" s="142" t="s">
        <v>85</v>
      </c>
      <c r="C9" s="143">
        <v>0.18719116817515821</v>
      </c>
      <c r="D9" s="644" t="s">
        <v>86</v>
      </c>
      <c r="E9" s="645"/>
      <c r="F9" s="646"/>
      <c r="S9" s="117"/>
    </row>
    <row r="10" spans="1:19" ht="26.5" thickBot="1">
      <c r="A10" s="144">
        <f>I34</f>
        <v>0.13977453705149423</v>
      </c>
      <c r="B10" s="121" t="s">
        <v>87</v>
      </c>
      <c r="C10" s="15"/>
      <c r="D10" s="145" t="s">
        <v>88</v>
      </c>
      <c r="E10" s="146" t="s">
        <v>89</v>
      </c>
      <c r="F10" s="145" t="s">
        <v>90</v>
      </c>
      <c r="S10" s="117"/>
    </row>
    <row r="11" spans="1:19" ht="15" thickBot="1">
      <c r="A11" s="147">
        <f>E34</f>
        <v>1.3392365456821027</v>
      </c>
      <c r="B11" s="148" t="s">
        <v>91</v>
      </c>
      <c r="C11" s="15"/>
      <c r="D11" s="149">
        <v>0.74173824763507867</v>
      </c>
      <c r="E11" s="150">
        <v>0.64336171686585653</v>
      </c>
      <c r="F11" s="151">
        <v>0.85515978352286282</v>
      </c>
      <c r="G11" s="15"/>
      <c r="S11" s="117"/>
    </row>
    <row r="12" spans="1:19" ht="14.5" hidden="1">
      <c r="A12" s="152"/>
      <c r="B12" s="153"/>
      <c r="C12" s="1"/>
      <c r="S12" s="117"/>
    </row>
    <row r="13" spans="1:19" ht="15" hidden="1" thickBot="1">
      <c r="A13" s="152"/>
      <c r="B13" s="154"/>
      <c r="C13" s="155"/>
      <c r="D13" s="156">
        <f>C9*D11</f>
        <v>0.13884684905500516</v>
      </c>
      <c r="E13" s="157">
        <f>C9*E11</f>
        <v>0.12043163133929508</v>
      </c>
      <c r="F13" s="158">
        <f>C9*F11</f>
        <v>0.1600783588540601</v>
      </c>
      <c r="S13" s="117"/>
    </row>
    <row r="14" spans="1:19" ht="14.5" hidden="1">
      <c r="A14" s="152"/>
      <c r="B14" s="153"/>
      <c r="C14" s="1"/>
      <c r="S14" s="117"/>
    </row>
    <row r="15" spans="1:19" ht="15" hidden="1" thickBot="1">
      <c r="A15" s="152"/>
      <c r="B15" s="159"/>
      <c r="C15" s="160" t="s">
        <v>92</v>
      </c>
      <c r="D15" s="161">
        <f>C9-D13</f>
        <v>4.8344319120153051E-2</v>
      </c>
      <c r="E15" s="162">
        <f>C9-F13</f>
        <v>2.7112809321098108E-2</v>
      </c>
      <c r="F15" s="163">
        <f>C9-E13</f>
        <v>6.6759536835863137E-2</v>
      </c>
      <c r="S15" s="117"/>
    </row>
    <row r="16" spans="1:19" ht="15" hidden="1" thickBot="1">
      <c r="A16" s="152"/>
      <c r="B16" s="164"/>
      <c r="C16" s="165" t="s">
        <v>93</v>
      </c>
      <c r="D16" s="166">
        <f>1/D15</f>
        <v>20.684953645011312</v>
      </c>
      <c r="E16" s="167">
        <f>1/F15</f>
        <v>14.979133280367536</v>
      </c>
      <c r="F16" s="168">
        <f>1/E15</f>
        <v>36.882935595384424</v>
      </c>
      <c r="S16" s="117"/>
    </row>
    <row r="17" spans="1:19" ht="14.5" hidden="1">
      <c r="A17" s="152"/>
      <c r="B17" s="153"/>
      <c r="C17" s="15"/>
      <c r="D17" s="15"/>
      <c r="E17" s="15"/>
      <c r="F17" s="15"/>
      <c r="S17" s="117"/>
    </row>
    <row r="18" spans="1:19" ht="14.5" hidden="1">
      <c r="A18" s="152"/>
      <c r="B18" s="169" t="s">
        <v>94</v>
      </c>
      <c r="C18" s="170"/>
      <c r="D18" s="170"/>
      <c r="E18" s="171">
        <f>ROUND(D11,2)</f>
        <v>0.74</v>
      </c>
      <c r="F18" s="172">
        <f>ROUND(D15,4)</f>
        <v>4.8300000000000003E-2</v>
      </c>
      <c r="G18" s="173">
        <f>ROUND(D16,0)</f>
        <v>21</v>
      </c>
      <c r="S18" s="117"/>
    </row>
    <row r="19" spans="1:19" ht="14.5" hidden="1">
      <c r="A19" s="152"/>
      <c r="B19" s="174" t="s">
        <v>95</v>
      </c>
      <c r="C19" s="175">
        <f>ROUND(D13,4)</f>
        <v>0.13880000000000001</v>
      </c>
      <c r="D19" s="176">
        <f>ROUND(C9,4)</f>
        <v>0.18720000000000001</v>
      </c>
      <c r="E19" s="177">
        <f>ROUND(E11,2)</f>
        <v>0.64</v>
      </c>
      <c r="F19" s="178">
        <f>ROUND(E15,4)</f>
        <v>2.7099999999999999E-2</v>
      </c>
      <c r="G19" s="179">
        <f>ROUND(E16,0)</f>
        <v>15</v>
      </c>
      <c r="S19" s="117"/>
    </row>
    <row r="20" spans="1:19" ht="14.5" hidden="1">
      <c r="A20" s="152"/>
      <c r="B20" s="174" t="s">
        <v>96</v>
      </c>
      <c r="C20" s="180"/>
      <c r="D20" s="180"/>
      <c r="E20" s="177">
        <f>ROUND(F11,2)</f>
        <v>0.86</v>
      </c>
      <c r="F20" s="178">
        <f>ROUND(F15,4)</f>
        <v>6.6799999999999998E-2</v>
      </c>
      <c r="G20" s="179">
        <f>ROUND(F16,0)</f>
        <v>37</v>
      </c>
      <c r="S20" s="117"/>
    </row>
    <row r="21" spans="1:19" ht="14.5" hidden="1">
      <c r="A21" s="152"/>
      <c r="B21" s="174" t="s">
        <v>97</v>
      </c>
      <c r="C21" s="181" t="s">
        <v>98</v>
      </c>
      <c r="D21" s="181" t="s">
        <v>99</v>
      </c>
      <c r="E21" s="182" t="s">
        <v>100</v>
      </c>
      <c r="F21" s="182" t="s">
        <v>101</v>
      </c>
      <c r="G21" s="181" t="s">
        <v>93</v>
      </c>
      <c r="S21" s="117"/>
    </row>
    <row r="22" spans="1:19" ht="14.5" hidden="1">
      <c r="A22" s="152"/>
      <c r="B22" s="183" t="s">
        <v>102</v>
      </c>
      <c r="C22" s="181" t="str">
        <f>CONCATENATE(C19*100,B21)</f>
        <v>13,88%</v>
      </c>
      <c r="D22" s="181" t="str">
        <f>CONCATENATE(D19*100,B21)</f>
        <v>18,72%</v>
      </c>
      <c r="E22" s="181" t="str">
        <f>CONCATENATE(E18," ",B18,E19,B19,E20,B20)</f>
        <v>0,74 (0,64-0,86)</v>
      </c>
      <c r="F22" s="181" t="str">
        <f>CONCATENATE(F18*100,B21," ",B18,F19*100,B21," ",B22," ",F20*100,B21,B20)</f>
        <v>4,83% (2,71% a 6,68%)</v>
      </c>
      <c r="G22" s="181" t="str">
        <f>CONCATENATE(G18," ",B18,G19," ",B22," ",G20,B20)</f>
        <v>21 (15 a 37)</v>
      </c>
      <c r="S22" s="117"/>
    </row>
    <row r="23" spans="1:19" ht="14.5" hidden="1">
      <c r="A23" s="184"/>
      <c r="B23" s="153"/>
      <c r="D23" s="112"/>
      <c r="E23" s="112"/>
      <c r="F23" s="112"/>
      <c r="G23" s="112"/>
      <c r="S23" s="117"/>
    </row>
    <row r="24" spans="1:19" ht="15" thickBot="1">
      <c r="A24" s="144">
        <f>A10*A11</f>
        <v>0.18719116817515821</v>
      </c>
      <c r="B24" s="121" t="s">
        <v>103</v>
      </c>
      <c r="C24" s="1"/>
      <c r="S24" s="117"/>
    </row>
    <row r="25" spans="1:19" ht="15" thickBot="1">
      <c r="A25" s="185"/>
      <c r="B25" s="1"/>
      <c r="C25" s="186" t="s">
        <v>104</v>
      </c>
      <c r="D25" s="187" t="s">
        <v>99</v>
      </c>
      <c r="E25" s="187" t="s">
        <v>100</v>
      </c>
      <c r="F25" s="187" t="s">
        <v>92</v>
      </c>
      <c r="G25" s="188" t="s">
        <v>93</v>
      </c>
      <c r="S25" s="117"/>
    </row>
    <row r="26" spans="1:19" ht="26.5" thickBot="1">
      <c r="A26" s="189"/>
      <c r="B26" s="190"/>
      <c r="C26" s="191" t="str">
        <f>C22</f>
        <v>13,88%</v>
      </c>
      <c r="D26" s="192" t="str">
        <f>D22</f>
        <v>18,72%</v>
      </c>
      <c r="E26" s="192" t="str">
        <f>E22</f>
        <v>0,74 (0,64-0,86)</v>
      </c>
      <c r="F26" s="192" t="str">
        <f>F22</f>
        <v>4,83% (2,71% a 6,68%)</v>
      </c>
      <c r="G26" s="193" t="str">
        <f>G22</f>
        <v>21 (15 a 37)</v>
      </c>
      <c r="S26" s="117"/>
    </row>
    <row r="27" spans="1:19" ht="14.5">
      <c r="B27" s="1"/>
      <c r="C27" s="1"/>
      <c r="E27" s="141"/>
      <c r="F27" s="11"/>
      <c r="S27" s="117"/>
    </row>
    <row r="28" spans="1:19" ht="15" thickBot="1">
      <c r="D28" s="141"/>
      <c r="E28" s="141"/>
      <c r="S28" s="117"/>
    </row>
    <row r="29" spans="1:19" ht="34" customHeight="1" thickBot="1">
      <c r="A29" s="558" t="s">
        <v>394</v>
      </c>
      <c r="B29" s="194" t="str">
        <f>B2</f>
        <v>Hospitalización por Insuficiencia cardíaca, Subgr [con FEVIr, con DM2], en 16 meses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S29" s="117"/>
    </row>
    <row r="30" spans="1:19" ht="36" customHeight="1" thickBot="1">
      <c r="A30" s="637" t="s">
        <v>105</v>
      </c>
      <c r="B30" s="633" t="s">
        <v>106</v>
      </c>
      <c r="C30" s="639" t="s">
        <v>107</v>
      </c>
      <c r="D30" s="637" t="s">
        <v>233</v>
      </c>
      <c r="E30" s="633" t="s">
        <v>108</v>
      </c>
      <c r="F30" s="633" t="s">
        <v>109</v>
      </c>
      <c r="G30" s="633" t="s">
        <v>110</v>
      </c>
      <c r="H30" s="633" t="s">
        <v>111</v>
      </c>
      <c r="I30" s="633" t="s">
        <v>112</v>
      </c>
      <c r="J30" s="633" t="s">
        <v>113</v>
      </c>
      <c r="K30" s="635" t="s">
        <v>114</v>
      </c>
      <c r="L30" s="625" t="s">
        <v>115</v>
      </c>
      <c r="M30" s="626"/>
      <c r="N30" s="626"/>
      <c r="O30" s="627"/>
      <c r="S30" s="117"/>
    </row>
    <row r="31" spans="1:19" ht="43.5" customHeight="1" thickBot="1">
      <c r="A31" s="638"/>
      <c r="B31" s="634"/>
      <c r="C31" s="640"/>
      <c r="D31" s="638"/>
      <c r="E31" s="634"/>
      <c r="F31" s="634"/>
      <c r="G31" s="634"/>
      <c r="H31" s="634"/>
      <c r="I31" s="634"/>
      <c r="J31" s="634"/>
      <c r="K31" s="636"/>
      <c r="L31" s="197" t="s">
        <v>116</v>
      </c>
      <c r="M31" s="198" t="s">
        <v>92</v>
      </c>
      <c r="N31" s="199" t="s">
        <v>93</v>
      </c>
      <c r="O31" s="200" t="s">
        <v>117</v>
      </c>
      <c r="S31" s="117"/>
    </row>
    <row r="32" spans="1:19" ht="44.5" customHeight="1">
      <c r="A32" s="521">
        <v>8</v>
      </c>
      <c r="B32" s="201" t="str">
        <f>A5</f>
        <v>20191121-ECA DAPA-HF 17m, FEVI 31+42DM [Dapa vs Pl],-MACE. McMurray</v>
      </c>
      <c r="C32" s="202" t="s">
        <v>118</v>
      </c>
      <c r="D32" s="203"/>
      <c r="E32" s="204">
        <f>H5</f>
        <v>1.4166666666666667</v>
      </c>
      <c r="F32" s="205" t="str">
        <f>P5</f>
        <v>138 / 1075</v>
      </c>
      <c r="G32" s="206">
        <f>L5</f>
        <v>9.0615595075239391E-2</v>
      </c>
      <c r="H32" s="205" t="str">
        <f>Q5</f>
        <v>172 / 1064</v>
      </c>
      <c r="I32" s="207">
        <f t="shared" ref="I32:J34" si="10">M5</f>
        <v>0.11410880141530295</v>
      </c>
      <c r="J32" s="208">
        <f t="shared" si="10"/>
        <v>66.349999999999994</v>
      </c>
      <c r="K32" s="209">
        <v>0.47098666057278449</v>
      </c>
      <c r="L32" s="210" t="s">
        <v>318</v>
      </c>
      <c r="M32" s="211" t="s">
        <v>319</v>
      </c>
      <c r="N32" s="212" t="s">
        <v>320</v>
      </c>
      <c r="O32" s="18" t="s">
        <v>292</v>
      </c>
      <c r="Q32" s="27">
        <v>3.5</v>
      </c>
      <c r="R32" s="213">
        <f>Q32*K32</f>
        <v>1.6484533120047458</v>
      </c>
      <c r="S32" s="117"/>
    </row>
    <row r="33" spans="1:19" ht="44.5" customHeight="1" thickBot="1">
      <c r="A33" s="214"/>
      <c r="B33" s="201" t="str">
        <f>A6</f>
        <v>20201008-ECA EMPEROR-red 15m, FEVI 27+50DM [Empa vs Pl], -MACE. Packer</v>
      </c>
      <c r="C33" s="202" t="s">
        <v>118</v>
      </c>
      <c r="D33" s="203"/>
      <c r="E33" s="204">
        <f>H6</f>
        <v>1.25</v>
      </c>
      <c r="F33" s="205" t="str">
        <f>P6</f>
        <v>140 / 927</v>
      </c>
      <c r="G33" s="206">
        <f>L6</f>
        <v>0.12081984897518878</v>
      </c>
      <c r="H33" s="205" t="str">
        <f>Q6</f>
        <v>201 / 929</v>
      </c>
      <c r="I33" s="206">
        <f t="shared" si="10"/>
        <v>0.17308934337997847</v>
      </c>
      <c r="J33" s="208">
        <f t="shared" si="10"/>
        <v>66.849999999999994</v>
      </c>
      <c r="K33" s="209">
        <v>0.52901333942721551</v>
      </c>
      <c r="L33" s="210" t="s">
        <v>321</v>
      </c>
      <c r="M33" s="211" t="s">
        <v>322</v>
      </c>
      <c r="N33" s="211" t="s">
        <v>323</v>
      </c>
      <c r="O33" s="18" t="s">
        <v>292</v>
      </c>
      <c r="Q33" s="27">
        <v>3.5</v>
      </c>
      <c r="R33" s="213">
        <f t="shared" ref="R33" si="11">Q33*K33</f>
        <v>1.8515466879952542</v>
      </c>
      <c r="S33" s="117"/>
    </row>
    <row r="34" spans="1:19" ht="21.5" thickBot="1">
      <c r="A34" s="215" t="s">
        <v>119</v>
      </c>
      <c r="B34" s="216">
        <f>COUNT(E32:E33)</f>
        <v>2</v>
      </c>
      <c r="C34" s="217"/>
      <c r="D34" s="218" t="s">
        <v>241</v>
      </c>
      <c r="E34" s="219">
        <f>H7</f>
        <v>1.3392365456821027</v>
      </c>
      <c r="F34" s="220" t="str">
        <f>P7</f>
        <v>278 / 2002</v>
      </c>
      <c r="G34" s="221">
        <f>L7</f>
        <v>0.10366687383467992</v>
      </c>
      <c r="H34" s="220" t="str">
        <f>Q7</f>
        <v>373 / 1993</v>
      </c>
      <c r="I34" s="221">
        <f t="shared" si="10"/>
        <v>0.13977453705149423</v>
      </c>
      <c r="J34" s="219">
        <f t="shared" si="10"/>
        <v>66.582290362953685</v>
      </c>
      <c r="K34" s="222">
        <v>1</v>
      </c>
      <c r="L34" s="524" t="s">
        <v>361</v>
      </c>
      <c r="M34" s="223"/>
      <c r="N34" s="224"/>
      <c r="O34" s="494" t="s">
        <v>294</v>
      </c>
      <c r="R34" s="225">
        <f>SUM(R32:R33)</f>
        <v>3.5</v>
      </c>
      <c r="S34" s="117"/>
    </row>
    <row r="35" spans="1:19" ht="34" customHeight="1" thickBot="1">
      <c r="A35" s="226"/>
      <c r="B35" s="226"/>
      <c r="C35" s="227"/>
      <c r="D35" s="489" t="s">
        <v>224</v>
      </c>
      <c r="E35" s="229"/>
      <c r="F35" s="230"/>
      <c r="G35" s="231"/>
      <c r="H35" s="230"/>
      <c r="I35" s="232"/>
      <c r="J35" s="233"/>
      <c r="K35" s="490"/>
      <c r="L35" s="649" t="s">
        <v>490</v>
      </c>
      <c r="M35" s="649"/>
      <c r="N35" s="650"/>
      <c r="O35" s="493" t="s">
        <v>293</v>
      </c>
    </row>
    <row r="36" spans="1:19" ht="13.5" thickBot="1">
      <c r="A36" s="226"/>
      <c r="B36" s="226"/>
      <c r="C36" s="227"/>
      <c r="D36" s="228"/>
      <c r="E36" s="229"/>
      <c r="F36" s="230"/>
      <c r="G36" s="231"/>
      <c r="H36" s="230"/>
      <c r="I36" s="232"/>
      <c r="J36" s="233"/>
      <c r="K36" s="234"/>
      <c r="L36" s="223"/>
      <c r="M36" s="224"/>
      <c r="N36" s="224"/>
      <c r="O36" s="234"/>
    </row>
    <row r="37" spans="1:19" ht="47" thickBot="1">
      <c r="A37" s="235"/>
      <c r="B37" s="628" t="s">
        <v>120</v>
      </c>
      <c r="C37" s="629"/>
      <c r="D37" s="629"/>
      <c r="E37" s="629"/>
      <c r="F37" s="629"/>
      <c r="G37" s="629"/>
      <c r="H37" s="629"/>
      <c r="I37" s="630"/>
      <c r="J37" s="236" t="s">
        <v>121</v>
      </c>
      <c r="K37" s="237" t="s">
        <v>122</v>
      </c>
      <c r="L37" s="238" t="s">
        <v>116</v>
      </c>
      <c r="M37" s="239" t="s">
        <v>92</v>
      </c>
      <c r="N37" s="240" t="s">
        <v>93</v>
      </c>
      <c r="O37" s="224"/>
    </row>
    <row r="38" spans="1:19" ht="19.5" customHeight="1">
      <c r="A38" s="631" t="s">
        <v>123</v>
      </c>
      <c r="B38" s="241" t="s">
        <v>124</v>
      </c>
      <c r="C38" s="242">
        <f>I34</f>
        <v>0.13977453705149423</v>
      </c>
      <c r="D38" s="243" t="s">
        <v>125</v>
      </c>
      <c r="E38" s="243"/>
      <c r="F38" s="243"/>
      <c r="G38" s="243"/>
      <c r="H38" s="244">
        <f>J34</f>
        <v>66.582290362953685</v>
      </c>
      <c r="I38" s="245" t="s">
        <v>126</v>
      </c>
      <c r="J38" s="246">
        <v>0.1037</v>
      </c>
      <c r="K38" s="247">
        <v>0.13980000000000001</v>
      </c>
      <c r="L38" s="525" t="s">
        <v>361</v>
      </c>
      <c r="M38" s="248" t="s">
        <v>362</v>
      </c>
      <c r="N38" s="248" t="s">
        <v>363</v>
      </c>
      <c r="O38" s="249" t="s">
        <v>127</v>
      </c>
    </row>
    <row r="39" spans="1:19" ht="19" thickBot="1">
      <c r="A39" s="632"/>
      <c r="B39" s="250" t="s">
        <v>124</v>
      </c>
      <c r="C39" s="251">
        <f>I34*E34</f>
        <v>0.18719116817515821</v>
      </c>
      <c r="D39" s="252" t="s">
        <v>128</v>
      </c>
      <c r="E39" s="253"/>
      <c r="F39" s="254"/>
      <c r="G39" s="255">
        <f>E34</f>
        <v>1.3392365456821027</v>
      </c>
      <c r="H39" s="252" t="s">
        <v>129</v>
      </c>
      <c r="I39" s="256"/>
      <c r="J39" s="257" t="s">
        <v>364</v>
      </c>
      <c r="K39" s="258" t="s">
        <v>365</v>
      </c>
      <c r="L39" s="526" t="s">
        <v>361</v>
      </c>
      <c r="M39" s="259" t="s">
        <v>366</v>
      </c>
      <c r="N39" s="259" t="s">
        <v>367</v>
      </c>
      <c r="O39" s="260" t="s">
        <v>368</v>
      </c>
      <c r="P39" s="15" t="s">
        <v>369</v>
      </c>
    </row>
    <row r="40" spans="1:19" ht="19" thickBot="1">
      <c r="A40" s="261"/>
      <c r="B40" s="262"/>
      <c r="C40" s="263"/>
      <c r="D40" s="264"/>
      <c r="E40" s="265"/>
      <c r="F40" s="266"/>
      <c r="G40" s="267"/>
      <c r="H40" s="264"/>
      <c r="I40" s="266"/>
      <c r="J40" s="268"/>
      <c r="K40" s="268"/>
      <c r="L40" s="269"/>
      <c r="M40" s="270"/>
      <c r="N40" s="270"/>
      <c r="O40" s="271"/>
    </row>
    <row r="41" spans="1:19" ht="19" thickBot="1">
      <c r="A41" s="272"/>
      <c r="B41" s="272"/>
      <c r="C41" s="234"/>
      <c r="D41" s="234"/>
      <c r="E41" s="234"/>
      <c r="F41" s="234"/>
      <c r="G41" s="234"/>
      <c r="H41" s="234"/>
      <c r="I41" s="273"/>
      <c r="J41" s="274"/>
      <c r="K41" s="275" t="s">
        <v>130</v>
      </c>
      <c r="L41" s="530" t="s">
        <v>331</v>
      </c>
      <c r="M41" s="276"/>
      <c r="N41" s="277"/>
      <c r="O41" s="278"/>
    </row>
    <row r="42" spans="1:19">
      <c r="A42" s="112"/>
      <c r="C42" s="1"/>
      <c r="I42" s="109" t="s">
        <v>131</v>
      </c>
      <c r="J42" s="279">
        <f>G39</f>
        <v>1.3392365456821027</v>
      </c>
      <c r="K42" s="279">
        <f>J42</f>
        <v>1.3392365456821027</v>
      </c>
    </row>
    <row r="43" spans="1:19">
      <c r="A43" s="112"/>
      <c r="C43" s="1"/>
      <c r="I43" s="15"/>
      <c r="J43" s="3" t="s">
        <v>81</v>
      </c>
      <c r="K43" s="3" t="s">
        <v>82</v>
      </c>
      <c r="L43" s="3" t="s">
        <v>132</v>
      </c>
    </row>
    <row r="44" spans="1:19" ht="17">
      <c r="I44" s="280" t="s">
        <v>263</v>
      </c>
      <c r="J44" s="528">
        <f>J38*100*J42</f>
        <v>13.887882978723404</v>
      </c>
      <c r="K44" s="529">
        <f>K38*100*K42</f>
        <v>18.722526908635796</v>
      </c>
      <c r="L44" s="527">
        <f>((J44*I7)+(K44*J7))/K7</f>
        <v>16.299293700458911</v>
      </c>
      <c r="M44" s="281"/>
      <c r="N44" s="281"/>
    </row>
    <row r="45" spans="1:19">
      <c r="B45" s="1"/>
      <c r="C45" s="1"/>
    </row>
    <row r="46" spans="1:19">
      <c r="B46" s="1"/>
      <c r="C46" s="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</sheetData>
  <mergeCells count="20">
    <mergeCell ref="B3:D3"/>
    <mergeCell ref="E3:G3"/>
    <mergeCell ref="I3:K3"/>
    <mergeCell ref="L3:M3"/>
    <mergeCell ref="D9:F9"/>
    <mergeCell ref="L30:O30"/>
    <mergeCell ref="B37:I37"/>
    <mergeCell ref="A38:A39"/>
    <mergeCell ref="F30:F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  <mergeCell ref="L35:N35"/>
  </mergeCells>
  <pageMargins left="0.7" right="0.7" top="0.75" bottom="0.75" header="0.3" footer="0.3"/>
  <ignoredErrors>
    <ignoredError sqref="H7" formula="1"/>
    <ignoredError sqref="J39:K3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94E-B86C-426E-85A6-095427C86349}">
  <dimension ref="A1:IV100"/>
  <sheetViews>
    <sheetView zoomScale="70" zoomScaleNormal="70" workbookViewId="0"/>
  </sheetViews>
  <sheetFormatPr baseColWidth="10" defaultColWidth="11.453125" defaultRowHeight="14.5"/>
  <cols>
    <col min="1" max="1" width="22.26953125" style="117" customWidth="1"/>
    <col min="2" max="2" width="19.81640625" style="117" customWidth="1"/>
    <col min="3" max="3" width="20.1796875" style="117" customWidth="1"/>
    <col min="4" max="4" width="17" style="117" customWidth="1"/>
    <col min="5" max="5" width="18.453125" style="117" customWidth="1"/>
    <col min="6" max="6" width="17.7265625" style="117" customWidth="1"/>
    <col min="7" max="7" width="11.453125" style="117"/>
    <col min="8" max="8" width="2.7265625" style="117" customWidth="1"/>
    <col min="9" max="9" width="15.54296875" style="117" customWidth="1"/>
    <col min="10" max="10" width="22.54296875" style="117" customWidth="1"/>
    <col min="11" max="11" width="19.7265625" style="117" customWidth="1"/>
    <col min="12" max="12" width="10.26953125" style="117" bestFit="1" customWidth="1"/>
    <col min="13" max="13" width="12.7265625" style="117" bestFit="1" customWidth="1"/>
    <col min="14" max="14" width="12.453125" style="117" bestFit="1" customWidth="1"/>
    <col min="15" max="15" width="11.453125" style="117"/>
    <col min="16" max="16" width="12.1796875" style="117" bestFit="1" customWidth="1"/>
    <col min="17" max="17" width="11.453125" style="117"/>
    <col min="18" max="18" width="12.1796875" style="117" bestFit="1" customWidth="1"/>
    <col min="19" max="22" width="11.453125" style="117"/>
    <col min="23" max="23" width="11.1796875" style="117" customWidth="1"/>
    <col min="24" max="256" width="11.453125" style="117"/>
    <col min="257" max="257" width="22.26953125" style="117" customWidth="1"/>
    <col min="258" max="258" width="19.81640625" style="117" customWidth="1"/>
    <col min="259" max="259" width="20.1796875" style="117" customWidth="1"/>
    <col min="260" max="260" width="17" style="117" customWidth="1"/>
    <col min="261" max="261" width="17.453125" style="117" customWidth="1"/>
    <col min="262" max="262" width="17.7265625" style="117" customWidth="1"/>
    <col min="263" max="263" width="11.453125" style="117"/>
    <col min="264" max="264" width="2.7265625" style="117" customWidth="1"/>
    <col min="265" max="265" width="15.54296875" style="117" customWidth="1"/>
    <col min="266" max="266" width="22.54296875" style="117" customWidth="1"/>
    <col min="267" max="267" width="19.7265625" style="117" customWidth="1"/>
    <col min="268" max="268" width="10.26953125" style="117" bestFit="1" customWidth="1"/>
    <col min="269" max="269" width="12.7265625" style="117" bestFit="1" customWidth="1"/>
    <col min="270" max="270" width="12.453125" style="117" bestFit="1" customWidth="1"/>
    <col min="271" max="271" width="11.453125" style="117"/>
    <col min="272" max="272" width="12.1796875" style="117" bestFit="1" customWidth="1"/>
    <col min="273" max="273" width="11.453125" style="117"/>
    <col min="274" max="274" width="12.1796875" style="117" bestFit="1" customWidth="1"/>
    <col min="275" max="278" width="11.453125" style="117"/>
    <col min="279" max="279" width="11.1796875" style="117" customWidth="1"/>
    <col min="280" max="512" width="11.453125" style="117"/>
    <col min="513" max="513" width="22.26953125" style="117" customWidth="1"/>
    <col min="514" max="514" width="19.81640625" style="117" customWidth="1"/>
    <col min="515" max="515" width="20.1796875" style="117" customWidth="1"/>
    <col min="516" max="516" width="17" style="117" customWidth="1"/>
    <col min="517" max="517" width="17.453125" style="117" customWidth="1"/>
    <col min="518" max="518" width="17.7265625" style="117" customWidth="1"/>
    <col min="519" max="519" width="11.453125" style="117"/>
    <col min="520" max="520" width="2.7265625" style="117" customWidth="1"/>
    <col min="521" max="521" width="15.54296875" style="117" customWidth="1"/>
    <col min="522" max="522" width="22.54296875" style="117" customWidth="1"/>
    <col min="523" max="523" width="19.7265625" style="117" customWidth="1"/>
    <col min="524" max="524" width="10.26953125" style="117" bestFit="1" customWidth="1"/>
    <col min="525" max="525" width="12.7265625" style="117" bestFit="1" customWidth="1"/>
    <col min="526" max="526" width="12.453125" style="117" bestFit="1" customWidth="1"/>
    <col min="527" max="527" width="11.453125" style="117"/>
    <col min="528" max="528" width="12.1796875" style="117" bestFit="1" customWidth="1"/>
    <col min="529" max="529" width="11.453125" style="117"/>
    <col min="530" max="530" width="12.1796875" style="117" bestFit="1" customWidth="1"/>
    <col min="531" max="534" width="11.453125" style="117"/>
    <col min="535" max="535" width="11.1796875" style="117" customWidth="1"/>
    <col min="536" max="768" width="11.453125" style="117"/>
    <col min="769" max="769" width="22.26953125" style="117" customWidth="1"/>
    <col min="770" max="770" width="19.81640625" style="117" customWidth="1"/>
    <col min="771" max="771" width="20.1796875" style="117" customWidth="1"/>
    <col min="772" max="772" width="17" style="117" customWidth="1"/>
    <col min="773" max="773" width="17.453125" style="117" customWidth="1"/>
    <col min="774" max="774" width="17.7265625" style="117" customWidth="1"/>
    <col min="775" max="775" width="11.453125" style="117"/>
    <col min="776" max="776" width="2.7265625" style="117" customWidth="1"/>
    <col min="777" max="777" width="15.54296875" style="117" customWidth="1"/>
    <col min="778" max="778" width="22.54296875" style="117" customWidth="1"/>
    <col min="779" max="779" width="19.7265625" style="117" customWidth="1"/>
    <col min="780" max="780" width="10.26953125" style="117" bestFit="1" customWidth="1"/>
    <col min="781" max="781" width="12.7265625" style="117" bestFit="1" customWidth="1"/>
    <col min="782" max="782" width="12.453125" style="117" bestFit="1" customWidth="1"/>
    <col min="783" max="783" width="11.453125" style="117"/>
    <col min="784" max="784" width="12.1796875" style="117" bestFit="1" customWidth="1"/>
    <col min="785" max="785" width="11.453125" style="117"/>
    <col min="786" max="786" width="12.1796875" style="117" bestFit="1" customWidth="1"/>
    <col min="787" max="790" width="11.453125" style="117"/>
    <col min="791" max="791" width="11.1796875" style="117" customWidth="1"/>
    <col min="792" max="1024" width="11.453125" style="117"/>
    <col min="1025" max="1025" width="22.26953125" style="117" customWidth="1"/>
    <col min="1026" max="1026" width="19.81640625" style="117" customWidth="1"/>
    <col min="1027" max="1027" width="20.1796875" style="117" customWidth="1"/>
    <col min="1028" max="1028" width="17" style="117" customWidth="1"/>
    <col min="1029" max="1029" width="17.453125" style="117" customWidth="1"/>
    <col min="1030" max="1030" width="17.7265625" style="117" customWidth="1"/>
    <col min="1031" max="1031" width="11.453125" style="117"/>
    <col min="1032" max="1032" width="2.7265625" style="117" customWidth="1"/>
    <col min="1033" max="1033" width="15.54296875" style="117" customWidth="1"/>
    <col min="1034" max="1034" width="22.54296875" style="117" customWidth="1"/>
    <col min="1035" max="1035" width="19.7265625" style="117" customWidth="1"/>
    <col min="1036" max="1036" width="10.26953125" style="117" bestFit="1" customWidth="1"/>
    <col min="1037" max="1037" width="12.7265625" style="117" bestFit="1" customWidth="1"/>
    <col min="1038" max="1038" width="12.453125" style="117" bestFit="1" customWidth="1"/>
    <col min="1039" max="1039" width="11.453125" style="117"/>
    <col min="1040" max="1040" width="12.1796875" style="117" bestFit="1" customWidth="1"/>
    <col min="1041" max="1041" width="11.453125" style="117"/>
    <col min="1042" max="1042" width="12.1796875" style="117" bestFit="1" customWidth="1"/>
    <col min="1043" max="1046" width="11.453125" style="117"/>
    <col min="1047" max="1047" width="11.1796875" style="117" customWidth="1"/>
    <col min="1048" max="1280" width="11.453125" style="117"/>
    <col min="1281" max="1281" width="22.26953125" style="117" customWidth="1"/>
    <col min="1282" max="1282" width="19.81640625" style="117" customWidth="1"/>
    <col min="1283" max="1283" width="20.1796875" style="117" customWidth="1"/>
    <col min="1284" max="1284" width="17" style="117" customWidth="1"/>
    <col min="1285" max="1285" width="17.453125" style="117" customWidth="1"/>
    <col min="1286" max="1286" width="17.7265625" style="117" customWidth="1"/>
    <col min="1287" max="1287" width="11.453125" style="117"/>
    <col min="1288" max="1288" width="2.7265625" style="117" customWidth="1"/>
    <col min="1289" max="1289" width="15.54296875" style="117" customWidth="1"/>
    <col min="1290" max="1290" width="22.54296875" style="117" customWidth="1"/>
    <col min="1291" max="1291" width="19.7265625" style="117" customWidth="1"/>
    <col min="1292" max="1292" width="10.26953125" style="117" bestFit="1" customWidth="1"/>
    <col min="1293" max="1293" width="12.7265625" style="117" bestFit="1" customWidth="1"/>
    <col min="1294" max="1294" width="12.453125" style="117" bestFit="1" customWidth="1"/>
    <col min="1295" max="1295" width="11.453125" style="117"/>
    <col min="1296" max="1296" width="12.1796875" style="117" bestFit="1" customWidth="1"/>
    <col min="1297" max="1297" width="11.453125" style="117"/>
    <col min="1298" max="1298" width="12.1796875" style="117" bestFit="1" customWidth="1"/>
    <col min="1299" max="1302" width="11.453125" style="117"/>
    <col min="1303" max="1303" width="11.1796875" style="117" customWidth="1"/>
    <col min="1304" max="1536" width="11.453125" style="117"/>
    <col min="1537" max="1537" width="22.26953125" style="117" customWidth="1"/>
    <col min="1538" max="1538" width="19.81640625" style="117" customWidth="1"/>
    <col min="1539" max="1539" width="20.1796875" style="117" customWidth="1"/>
    <col min="1540" max="1540" width="17" style="117" customWidth="1"/>
    <col min="1541" max="1541" width="17.453125" style="117" customWidth="1"/>
    <col min="1542" max="1542" width="17.7265625" style="117" customWidth="1"/>
    <col min="1543" max="1543" width="11.453125" style="117"/>
    <col min="1544" max="1544" width="2.7265625" style="117" customWidth="1"/>
    <col min="1545" max="1545" width="15.54296875" style="117" customWidth="1"/>
    <col min="1546" max="1546" width="22.54296875" style="117" customWidth="1"/>
    <col min="1547" max="1547" width="19.7265625" style="117" customWidth="1"/>
    <col min="1548" max="1548" width="10.26953125" style="117" bestFit="1" customWidth="1"/>
    <col min="1549" max="1549" width="12.7265625" style="117" bestFit="1" customWidth="1"/>
    <col min="1550" max="1550" width="12.453125" style="117" bestFit="1" customWidth="1"/>
    <col min="1551" max="1551" width="11.453125" style="117"/>
    <col min="1552" max="1552" width="12.1796875" style="117" bestFit="1" customWidth="1"/>
    <col min="1553" max="1553" width="11.453125" style="117"/>
    <col min="1554" max="1554" width="12.1796875" style="117" bestFit="1" customWidth="1"/>
    <col min="1555" max="1558" width="11.453125" style="117"/>
    <col min="1559" max="1559" width="11.1796875" style="117" customWidth="1"/>
    <col min="1560" max="1792" width="11.453125" style="117"/>
    <col min="1793" max="1793" width="22.26953125" style="117" customWidth="1"/>
    <col min="1794" max="1794" width="19.81640625" style="117" customWidth="1"/>
    <col min="1795" max="1795" width="20.1796875" style="117" customWidth="1"/>
    <col min="1796" max="1796" width="17" style="117" customWidth="1"/>
    <col min="1797" max="1797" width="17.453125" style="117" customWidth="1"/>
    <col min="1798" max="1798" width="17.7265625" style="117" customWidth="1"/>
    <col min="1799" max="1799" width="11.453125" style="117"/>
    <col min="1800" max="1800" width="2.7265625" style="117" customWidth="1"/>
    <col min="1801" max="1801" width="15.54296875" style="117" customWidth="1"/>
    <col min="1802" max="1802" width="22.54296875" style="117" customWidth="1"/>
    <col min="1803" max="1803" width="19.7265625" style="117" customWidth="1"/>
    <col min="1804" max="1804" width="10.26953125" style="117" bestFit="1" customWidth="1"/>
    <col min="1805" max="1805" width="12.7265625" style="117" bestFit="1" customWidth="1"/>
    <col min="1806" max="1806" width="12.453125" style="117" bestFit="1" customWidth="1"/>
    <col min="1807" max="1807" width="11.453125" style="117"/>
    <col min="1808" max="1808" width="12.1796875" style="117" bestFit="1" customWidth="1"/>
    <col min="1809" max="1809" width="11.453125" style="117"/>
    <col min="1810" max="1810" width="12.1796875" style="117" bestFit="1" customWidth="1"/>
    <col min="1811" max="1814" width="11.453125" style="117"/>
    <col min="1815" max="1815" width="11.1796875" style="117" customWidth="1"/>
    <col min="1816" max="2048" width="11.453125" style="117"/>
    <col min="2049" max="2049" width="22.26953125" style="117" customWidth="1"/>
    <col min="2050" max="2050" width="19.81640625" style="117" customWidth="1"/>
    <col min="2051" max="2051" width="20.1796875" style="117" customWidth="1"/>
    <col min="2052" max="2052" width="17" style="117" customWidth="1"/>
    <col min="2053" max="2053" width="17.453125" style="117" customWidth="1"/>
    <col min="2054" max="2054" width="17.7265625" style="117" customWidth="1"/>
    <col min="2055" max="2055" width="11.453125" style="117"/>
    <col min="2056" max="2056" width="2.7265625" style="117" customWidth="1"/>
    <col min="2057" max="2057" width="15.54296875" style="117" customWidth="1"/>
    <col min="2058" max="2058" width="22.54296875" style="117" customWidth="1"/>
    <col min="2059" max="2059" width="19.7265625" style="117" customWidth="1"/>
    <col min="2060" max="2060" width="10.26953125" style="117" bestFit="1" customWidth="1"/>
    <col min="2061" max="2061" width="12.7265625" style="117" bestFit="1" customWidth="1"/>
    <col min="2062" max="2062" width="12.453125" style="117" bestFit="1" customWidth="1"/>
    <col min="2063" max="2063" width="11.453125" style="117"/>
    <col min="2064" max="2064" width="12.1796875" style="117" bestFit="1" customWidth="1"/>
    <col min="2065" max="2065" width="11.453125" style="117"/>
    <col min="2066" max="2066" width="12.1796875" style="117" bestFit="1" customWidth="1"/>
    <col min="2067" max="2070" width="11.453125" style="117"/>
    <col min="2071" max="2071" width="11.1796875" style="117" customWidth="1"/>
    <col min="2072" max="2304" width="11.453125" style="117"/>
    <col min="2305" max="2305" width="22.26953125" style="117" customWidth="1"/>
    <col min="2306" max="2306" width="19.81640625" style="117" customWidth="1"/>
    <col min="2307" max="2307" width="20.1796875" style="117" customWidth="1"/>
    <col min="2308" max="2308" width="17" style="117" customWidth="1"/>
    <col min="2309" max="2309" width="17.453125" style="117" customWidth="1"/>
    <col min="2310" max="2310" width="17.7265625" style="117" customWidth="1"/>
    <col min="2311" max="2311" width="11.453125" style="117"/>
    <col min="2312" max="2312" width="2.7265625" style="117" customWidth="1"/>
    <col min="2313" max="2313" width="15.54296875" style="117" customWidth="1"/>
    <col min="2314" max="2314" width="22.54296875" style="117" customWidth="1"/>
    <col min="2315" max="2315" width="19.7265625" style="117" customWidth="1"/>
    <col min="2316" max="2316" width="10.26953125" style="117" bestFit="1" customWidth="1"/>
    <col min="2317" max="2317" width="12.7265625" style="117" bestFit="1" customWidth="1"/>
    <col min="2318" max="2318" width="12.453125" style="117" bestFit="1" customWidth="1"/>
    <col min="2319" max="2319" width="11.453125" style="117"/>
    <col min="2320" max="2320" width="12.1796875" style="117" bestFit="1" customWidth="1"/>
    <col min="2321" max="2321" width="11.453125" style="117"/>
    <col min="2322" max="2322" width="12.1796875" style="117" bestFit="1" customWidth="1"/>
    <col min="2323" max="2326" width="11.453125" style="117"/>
    <col min="2327" max="2327" width="11.1796875" style="117" customWidth="1"/>
    <col min="2328" max="2560" width="11.453125" style="117"/>
    <col min="2561" max="2561" width="22.26953125" style="117" customWidth="1"/>
    <col min="2562" max="2562" width="19.81640625" style="117" customWidth="1"/>
    <col min="2563" max="2563" width="20.1796875" style="117" customWidth="1"/>
    <col min="2564" max="2564" width="17" style="117" customWidth="1"/>
    <col min="2565" max="2565" width="17.453125" style="117" customWidth="1"/>
    <col min="2566" max="2566" width="17.7265625" style="117" customWidth="1"/>
    <col min="2567" max="2567" width="11.453125" style="117"/>
    <col min="2568" max="2568" width="2.7265625" style="117" customWidth="1"/>
    <col min="2569" max="2569" width="15.54296875" style="117" customWidth="1"/>
    <col min="2570" max="2570" width="22.54296875" style="117" customWidth="1"/>
    <col min="2571" max="2571" width="19.7265625" style="117" customWidth="1"/>
    <col min="2572" max="2572" width="10.26953125" style="117" bestFit="1" customWidth="1"/>
    <col min="2573" max="2573" width="12.7265625" style="117" bestFit="1" customWidth="1"/>
    <col min="2574" max="2574" width="12.453125" style="117" bestFit="1" customWidth="1"/>
    <col min="2575" max="2575" width="11.453125" style="117"/>
    <col min="2576" max="2576" width="12.1796875" style="117" bestFit="1" customWidth="1"/>
    <col min="2577" max="2577" width="11.453125" style="117"/>
    <col min="2578" max="2578" width="12.1796875" style="117" bestFit="1" customWidth="1"/>
    <col min="2579" max="2582" width="11.453125" style="117"/>
    <col min="2583" max="2583" width="11.1796875" style="117" customWidth="1"/>
    <col min="2584" max="2816" width="11.453125" style="117"/>
    <col min="2817" max="2817" width="22.26953125" style="117" customWidth="1"/>
    <col min="2818" max="2818" width="19.81640625" style="117" customWidth="1"/>
    <col min="2819" max="2819" width="20.1796875" style="117" customWidth="1"/>
    <col min="2820" max="2820" width="17" style="117" customWidth="1"/>
    <col min="2821" max="2821" width="17.453125" style="117" customWidth="1"/>
    <col min="2822" max="2822" width="17.7265625" style="117" customWidth="1"/>
    <col min="2823" max="2823" width="11.453125" style="117"/>
    <col min="2824" max="2824" width="2.7265625" style="117" customWidth="1"/>
    <col min="2825" max="2825" width="15.54296875" style="117" customWidth="1"/>
    <col min="2826" max="2826" width="22.54296875" style="117" customWidth="1"/>
    <col min="2827" max="2827" width="19.7265625" style="117" customWidth="1"/>
    <col min="2828" max="2828" width="10.26953125" style="117" bestFit="1" customWidth="1"/>
    <col min="2829" max="2829" width="12.7265625" style="117" bestFit="1" customWidth="1"/>
    <col min="2830" max="2830" width="12.453125" style="117" bestFit="1" customWidth="1"/>
    <col min="2831" max="2831" width="11.453125" style="117"/>
    <col min="2832" max="2832" width="12.1796875" style="117" bestFit="1" customWidth="1"/>
    <col min="2833" max="2833" width="11.453125" style="117"/>
    <col min="2834" max="2834" width="12.1796875" style="117" bestFit="1" customWidth="1"/>
    <col min="2835" max="2838" width="11.453125" style="117"/>
    <col min="2839" max="2839" width="11.1796875" style="117" customWidth="1"/>
    <col min="2840" max="3072" width="11.453125" style="117"/>
    <col min="3073" max="3073" width="22.26953125" style="117" customWidth="1"/>
    <col min="3074" max="3074" width="19.81640625" style="117" customWidth="1"/>
    <col min="3075" max="3075" width="20.1796875" style="117" customWidth="1"/>
    <col min="3076" max="3076" width="17" style="117" customWidth="1"/>
    <col min="3077" max="3077" width="17.453125" style="117" customWidth="1"/>
    <col min="3078" max="3078" width="17.7265625" style="117" customWidth="1"/>
    <col min="3079" max="3079" width="11.453125" style="117"/>
    <col min="3080" max="3080" width="2.7265625" style="117" customWidth="1"/>
    <col min="3081" max="3081" width="15.54296875" style="117" customWidth="1"/>
    <col min="3082" max="3082" width="22.54296875" style="117" customWidth="1"/>
    <col min="3083" max="3083" width="19.7265625" style="117" customWidth="1"/>
    <col min="3084" max="3084" width="10.26953125" style="117" bestFit="1" customWidth="1"/>
    <col min="3085" max="3085" width="12.7265625" style="117" bestFit="1" customWidth="1"/>
    <col min="3086" max="3086" width="12.453125" style="117" bestFit="1" customWidth="1"/>
    <col min="3087" max="3087" width="11.453125" style="117"/>
    <col min="3088" max="3088" width="12.1796875" style="117" bestFit="1" customWidth="1"/>
    <col min="3089" max="3089" width="11.453125" style="117"/>
    <col min="3090" max="3090" width="12.1796875" style="117" bestFit="1" customWidth="1"/>
    <col min="3091" max="3094" width="11.453125" style="117"/>
    <col min="3095" max="3095" width="11.1796875" style="117" customWidth="1"/>
    <col min="3096" max="3328" width="11.453125" style="117"/>
    <col min="3329" max="3329" width="22.26953125" style="117" customWidth="1"/>
    <col min="3330" max="3330" width="19.81640625" style="117" customWidth="1"/>
    <col min="3331" max="3331" width="20.1796875" style="117" customWidth="1"/>
    <col min="3332" max="3332" width="17" style="117" customWidth="1"/>
    <col min="3333" max="3333" width="17.453125" style="117" customWidth="1"/>
    <col min="3334" max="3334" width="17.7265625" style="117" customWidth="1"/>
    <col min="3335" max="3335" width="11.453125" style="117"/>
    <col min="3336" max="3336" width="2.7265625" style="117" customWidth="1"/>
    <col min="3337" max="3337" width="15.54296875" style="117" customWidth="1"/>
    <col min="3338" max="3338" width="22.54296875" style="117" customWidth="1"/>
    <col min="3339" max="3339" width="19.7265625" style="117" customWidth="1"/>
    <col min="3340" max="3340" width="10.26953125" style="117" bestFit="1" customWidth="1"/>
    <col min="3341" max="3341" width="12.7265625" style="117" bestFit="1" customWidth="1"/>
    <col min="3342" max="3342" width="12.453125" style="117" bestFit="1" customWidth="1"/>
    <col min="3343" max="3343" width="11.453125" style="117"/>
    <col min="3344" max="3344" width="12.1796875" style="117" bestFit="1" customWidth="1"/>
    <col min="3345" max="3345" width="11.453125" style="117"/>
    <col min="3346" max="3346" width="12.1796875" style="117" bestFit="1" customWidth="1"/>
    <col min="3347" max="3350" width="11.453125" style="117"/>
    <col min="3351" max="3351" width="11.1796875" style="117" customWidth="1"/>
    <col min="3352" max="3584" width="11.453125" style="117"/>
    <col min="3585" max="3585" width="22.26953125" style="117" customWidth="1"/>
    <col min="3586" max="3586" width="19.81640625" style="117" customWidth="1"/>
    <col min="3587" max="3587" width="20.1796875" style="117" customWidth="1"/>
    <col min="3588" max="3588" width="17" style="117" customWidth="1"/>
    <col min="3589" max="3589" width="17.453125" style="117" customWidth="1"/>
    <col min="3590" max="3590" width="17.7265625" style="117" customWidth="1"/>
    <col min="3591" max="3591" width="11.453125" style="117"/>
    <col min="3592" max="3592" width="2.7265625" style="117" customWidth="1"/>
    <col min="3593" max="3593" width="15.54296875" style="117" customWidth="1"/>
    <col min="3594" max="3594" width="22.54296875" style="117" customWidth="1"/>
    <col min="3595" max="3595" width="19.7265625" style="117" customWidth="1"/>
    <col min="3596" max="3596" width="10.26953125" style="117" bestFit="1" customWidth="1"/>
    <col min="3597" max="3597" width="12.7265625" style="117" bestFit="1" customWidth="1"/>
    <col min="3598" max="3598" width="12.453125" style="117" bestFit="1" customWidth="1"/>
    <col min="3599" max="3599" width="11.453125" style="117"/>
    <col min="3600" max="3600" width="12.1796875" style="117" bestFit="1" customWidth="1"/>
    <col min="3601" max="3601" width="11.453125" style="117"/>
    <col min="3602" max="3602" width="12.1796875" style="117" bestFit="1" customWidth="1"/>
    <col min="3603" max="3606" width="11.453125" style="117"/>
    <col min="3607" max="3607" width="11.1796875" style="117" customWidth="1"/>
    <col min="3608" max="3840" width="11.453125" style="117"/>
    <col min="3841" max="3841" width="22.26953125" style="117" customWidth="1"/>
    <col min="3842" max="3842" width="19.81640625" style="117" customWidth="1"/>
    <col min="3843" max="3843" width="20.1796875" style="117" customWidth="1"/>
    <col min="3844" max="3844" width="17" style="117" customWidth="1"/>
    <col min="3845" max="3845" width="17.453125" style="117" customWidth="1"/>
    <col min="3846" max="3846" width="17.7265625" style="117" customWidth="1"/>
    <col min="3847" max="3847" width="11.453125" style="117"/>
    <col min="3848" max="3848" width="2.7265625" style="117" customWidth="1"/>
    <col min="3849" max="3849" width="15.54296875" style="117" customWidth="1"/>
    <col min="3850" max="3850" width="22.54296875" style="117" customWidth="1"/>
    <col min="3851" max="3851" width="19.7265625" style="117" customWidth="1"/>
    <col min="3852" max="3852" width="10.26953125" style="117" bestFit="1" customWidth="1"/>
    <col min="3853" max="3853" width="12.7265625" style="117" bestFit="1" customWidth="1"/>
    <col min="3854" max="3854" width="12.453125" style="117" bestFit="1" customWidth="1"/>
    <col min="3855" max="3855" width="11.453125" style="117"/>
    <col min="3856" max="3856" width="12.1796875" style="117" bestFit="1" customWidth="1"/>
    <col min="3857" max="3857" width="11.453125" style="117"/>
    <col min="3858" max="3858" width="12.1796875" style="117" bestFit="1" customWidth="1"/>
    <col min="3859" max="3862" width="11.453125" style="117"/>
    <col min="3863" max="3863" width="11.1796875" style="117" customWidth="1"/>
    <col min="3864" max="4096" width="11.453125" style="117"/>
    <col min="4097" max="4097" width="22.26953125" style="117" customWidth="1"/>
    <col min="4098" max="4098" width="19.81640625" style="117" customWidth="1"/>
    <col min="4099" max="4099" width="20.1796875" style="117" customWidth="1"/>
    <col min="4100" max="4100" width="17" style="117" customWidth="1"/>
    <col min="4101" max="4101" width="17.453125" style="117" customWidth="1"/>
    <col min="4102" max="4102" width="17.7265625" style="117" customWidth="1"/>
    <col min="4103" max="4103" width="11.453125" style="117"/>
    <col min="4104" max="4104" width="2.7265625" style="117" customWidth="1"/>
    <col min="4105" max="4105" width="15.54296875" style="117" customWidth="1"/>
    <col min="4106" max="4106" width="22.54296875" style="117" customWidth="1"/>
    <col min="4107" max="4107" width="19.7265625" style="117" customWidth="1"/>
    <col min="4108" max="4108" width="10.26953125" style="117" bestFit="1" customWidth="1"/>
    <col min="4109" max="4109" width="12.7265625" style="117" bestFit="1" customWidth="1"/>
    <col min="4110" max="4110" width="12.453125" style="117" bestFit="1" customWidth="1"/>
    <col min="4111" max="4111" width="11.453125" style="117"/>
    <col min="4112" max="4112" width="12.1796875" style="117" bestFit="1" customWidth="1"/>
    <col min="4113" max="4113" width="11.453125" style="117"/>
    <col min="4114" max="4114" width="12.1796875" style="117" bestFit="1" customWidth="1"/>
    <col min="4115" max="4118" width="11.453125" style="117"/>
    <col min="4119" max="4119" width="11.1796875" style="117" customWidth="1"/>
    <col min="4120" max="4352" width="11.453125" style="117"/>
    <col min="4353" max="4353" width="22.26953125" style="117" customWidth="1"/>
    <col min="4354" max="4354" width="19.81640625" style="117" customWidth="1"/>
    <col min="4355" max="4355" width="20.1796875" style="117" customWidth="1"/>
    <col min="4356" max="4356" width="17" style="117" customWidth="1"/>
    <col min="4357" max="4357" width="17.453125" style="117" customWidth="1"/>
    <col min="4358" max="4358" width="17.7265625" style="117" customWidth="1"/>
    <col min="4359" max="4359" width="11.453125" style="117"/>
    <col min="4360" max="4360" width="2.7265625" style="117" customWidth="1"/>
    <col min="4361" max="4361" width="15.54296875" style="117" customWidth="1"/>
    <col min="4362" max="4362" width="22.54296875" style="117" customWidth="1"/>
    <col min="4363" max="4363" width="19.7265625" style="117" customWidth="1"/>
    <col min="4364" max="4364" width="10.26953125" style="117" bestFit="1" customWidth="1"/>
    <col min="4365" max="4365" width="12.7265625" style="117" bestFit="1" customWidth="1"/>
    <col min="4366" max="4366" width="12.453125" style="117" bestFit="1" customWidth="1"/>
    <col min="4367" max="4367" width="11.453125" style="117"/>
    <col min="4368" max="4368" width="12.1796875" style="117" bestFit="1" customWidth="1"/>
    <col min="4369" max="4369" width="11.453125" style="117"/>
    <col min="4370" max="4370" width="12.1796875" style="117" bestFit="1" customWidth="1"/>
    <col min="4371" max="4374" width="11.453125" style="117"/>
    <col min="4375" max="4375" width="11.1796875" style="117" customWidth="1"/>
    <col min="4376" max="4608" width="11.453125" style="117"/>
    <col min="4609" max="4609" width="22.26953125" style="117" customWidth="1"/>
    <col min="4610" max="4610" width="19.81640625" style="117" customWidth="1"/>
    <col min="4611" max="4611" width="20.1796875" style="117" customWidth="1"/>
    <col min="4612" max="4612" width="17" style="117" customWidth="1"/>
    <col min="4613" max="4613" width="17.453125" style="117" customWidth="1"/>
    <col min="4614" max="4614" width="17.7265625" style="117" customWidth="1"/>
    <col min="4615" max="4615" width="11.453125" style="117"/>
    <col min="4616" max="4616" width="2.7265625" style="117" customWidth="1"/>
    <col min="4617" max="4617" width="15.54296875" style="117" customWidth="1"/>
    <col min="4618" max="4618" width="22.54296875" style="117" customWidth="1"/>
    <col min="4619" max="4619" width="19.7265625" style="117" customWidth="1"/>
    <col min="4620" max="4620" width="10.26953125" style="117" bestFit="1" customWidth="1"/>
    <col min="4621" max="4621" width="12.7265625" style="117" bestFit="1" customWidth="1"/>
    <col min="4622" max="4622" width="12.453125" style="117" bestFit="1" customWidth="1"/>
    <col min="4623" max="4623" width="11.453125" style="117"/>
    <col min="4624" max="4624" width="12.1796875" style="117" bestFit="1" customWidth="1"/>
    <col min="4625" max="4625" width="11.453125" style="117"/>
    <col min="4626" max="4626" width="12.1796875" style="117" bestFit="1" customWidth="1"/>
    <col min="4627" max="4630" width="11.453125" style="117"/>
    <col min="4631" max="4631" width="11.1796875" style="117" customWidth="1"/>
    <col min="4632" max="4864" width="11.453125" style="117"/>
    <col min="4865" max="4865" width="22.26953125" style="117" customWidth="1"/>
    <col min="4866" max="4866" width="19.81640625" style="117" customWidth="1"/>
    <col min="4867" max="4867" width="20.1796875" style="117" customWidth="1"/>
    <col min="4868" max="4868" width="17" style="117" customWidth="1"/>
    <col min="4869" max="4869" width="17.453125" style="117" customWidth="1"/>
    <col min="4870" max="4870" width="17.7265625" style="117" customWidth="1"/>
    <col min="4871" max="4871" width="11.453125" style="117"/>
    <col min="4872" max="4872" width="2.7265625" style="117" customWidth="1"/>
    <col min="4873" max="4873" width="15.54296875" style="117" customWidth="1"/>
    <col min="4874" max="4874" width="22.54296875" style="117" customWidth="1"/>
    <col min="4875" max="4875" width="19.7265625" style="117" customWidth="1"/>
    <col min="4876" max="4876" width="10.26953125" style="117" bestFit="1" customWidth="1"/>
    <col min="4877" max="4877" width="12.7265625" style="117" bestFit="1" customWidth="1"/>
    <col min="4878" max="4878" width="12.453125" style="117" bestFit="1" customWidth="1"/>
    <col min="4879" max="4879" width="11.453125" style="117"/>
    <col min="4880" max="4880" width="12.1796875" style="117" bestFit="1" customWidth="1"/>
    <col min="4881" max="4881" width="11.453125" style="117"/>
    <col min="4882" max="4882" width="12.1796875" style="117" bestFit="1" customWidth="1"/>
    <col min="4883" max="4886" width="11.453125" style="117"/>
    <col min="4887" max="4887" width="11.1796875" style="117" customWidth="1"/>
    <col min="4888" max="5120" width="11.453125" style="117"/>
    <col min="5121" max="5121" width="22.26953125" style="117" customWidth="1"/>
    <col min="5122" max="5122" width="19.81640625" style="117" customWidth="1"/>
    <col min="5123" max="5123" width="20.1796875" style="117" customWidth="1"/>
    <col min="5124" max="5124" width="17" style="117" customWidth="1"/>
    <col min="5125" max="5125" width="17.453125" style="117" customWidth="1"/>
    <col min="5126" max="5126" width="17.7265625" style="117" customWidth="1"/>
    <col min="5127" max="5127" width="11.453125" style="117"/>
    <col min="5128" max="5128" width="2.7265625" style="117" customWidth="1"/>
    <col min="5129" max="5129" width="15.54296875" style="117" customWidth="1"/>
    <col min="5130" max="5130" width="22.54296875" style="117" customWidth="1"/>
    <col min="5131" max="5131" width="19.7265625" style="117" customWidth="1"/>
    <col min="5132" max="5132" width="10.26953125" style="117" bestFit="1" customWidth="1"/>
    <col min="5133" max="5133" width="12.7265625" style="117" bestFit="1" customWidth="1"/>
    <col min="5134" max="5134" width="12.453125" style="117" bestFit="1" customWidth="1"/>
    <col min="5135" max="5135" width="11.453125" style="117"/>
    <col min="5136" max="5136" width="12.1796875" style="117" bestFit="1" customWidth="1"/>
    <col min="5137" max="5137" width="11.453125" style="117"/>
    <col min="5138" max="5138" width="12.1796875" style="117" bestFit="1" customWidth="1"/>
    <col min="5139" max="5142" width="11.453125" style="117"/>
    <col min="5143" max="5143" width="11.1796875" style="117" customWidth="1"/>
    <col min="5144" max="5376" width="11.453125" style="117"/>
    <col min="5377" max="5377" width="22.26953125" style="117" customWidth="1"/>
    <col min="5378" max="5378" width="19.81640625" style="117" customWidth="1"/>
    <col min="5379" max="5379" width="20.1796875" style="117" customWidth="1"/>
    <col min="5380" max="5380" width="17" style="117" customWidth="1"/>
    <col min="5381" max="5381" width="17.453125" style="117" customWidth="1"/>
    <col min="5382" max="5382" width="17.7265625" style="117" customWidth="1"/>
    <col min="5383" max="5383" width="11.453125" style="117"/>
    <col min="5384" max="5384" width="2.7265625" style="117" customWidth="1"/>
    <col min="5385" max="5385" width="15.54296875" style="117" customWidth="1"/>
    <col min="5386" max="5386" width="22.54296875" style="117" customWidth="1"/>
    <col min="5387" max="5387" width="19.7265625" style="117" customWidth="1"/>
    <col min="5388" max="5388" width="10.26953125" style="117" bestFit="1" customWidth="1"/>
    <col min="5389" max="5389" width="12.7265625" style="117" bestFit="1" customWidth="1"/>
    <col min="5390" max="5390" width="12.453125" style="117" bestFit="1" customWidth="1"/>
    <col min="5391" max="5391" width="11.453125" style="117"/>
    <col min="5392" max="5392" width="12.1796875" style="117" bestFit="1" customWidth="1"/>
    <col min="5393" max="5393" width="11.453125" style="117"/>
    <col min="5394" max="5394" width="12.1796875" style="117" bestFit="1" customWidth="1"/>
    <col min="5395" max="5398" width="11.453125" style="117"/>
    <col min="5399" max="5399" width="11.1796875" style="117" customWidth="1"/>
    <col min="5400" max="5632" width="11.453125" style="117"/>
    <col min="5633" max="5633" width="22.26953125" style="117" customWidth="1"/>
    <col min="5634" max="5634" width="19.81640625" style="117" customWidth="1"/>
    <col min="5635" max="5635" width="20.1796875" style="117" customWidth="1"/>
    <col min="5636" max="5636" width="17" style="117" customWidth="1"/>
    <col min="5637" max="5637" width="17.453125" style="117" customWidth="1"/>
    <col min="5638" max="5638" width="17.7265625" style="117" customWidth="1"/>
    <col min="5639" max="5639" width="11.453125" style="117"/>
    <col min="5640" max="5640" width="2.7265625" style="117" customWidth="1"/>
    <col min="5641" max="5641" width="15.54296875" style="117" customWidth="1"/>
    <col min="5642" max="5642" width="22.54296875" style="117" customWidth="1"/>
    <col min="5643" max="5643" width="19.7265625" style="117" customWidth="1"/>
    <col min="5644" max="5644" width="10.26953125" style="117" bestFit="1" customWidth="1"/>
    <col min="5645" max="5645" width="12.7265625" style="117" bestFit="1" customWidth="1"/>
    <col min="5646" max="5646" width="12.453125" style="117" bestFit="1" customWidth="1"/>
    <col min="5647" max="5647" width="11.453125" style="117"/>
    <col min="5648" max="5648" width="12.1796875" style="117" bestFit="1" customWidth="1"/>
    <col min="5649" max="5649" width="11.453125" style="117"/>
    <col min="5650" max="5650" width="12.1796875" style="117" bestFit="1" customWidth="1"/>
    <col min="5651" max="5654" width="11.453125" style="117"/>
    <col min="5655" max="5655" width="11.1796875" style="117" customWidth="1"/>
    <col min="5656" max="5888" width="11.453125" style="117"/>
    <col min="5889" max="5889" width="22.26953125" style="117" customWidth="1"/>
    <col min="5890" max="5890" width="19.81640625" style="117" customWidth="1"/>
    <col min="5891" max="5891" width="20.1796875" style="117" customWidth="1"/>
    <col min="5892" max="5892" width="17" style="117" customWidth="1"/>
    <col min="5893" max="5893" width="17.453125" style="117" customWidth="1"/>
    <col min="5894" max="5894" width="17.7265625" style="117" customWidth="1"/>
    <col min="5895" max="5895" width="11.453125" style="117"/>
    <col min="5896" max="5896" width="2.7265625" style="117" customWidth="1"/>
    <col min="5897" max="5897" width="15.54296875" style="117" customWidth="1"/>
    <col min="5898" max="5898" width="22.54296875" style="117" customWidth="1"/>
    <col min="5899" max="5899" width="19.7265625" style="117" customWidth="1"/>
    <col min="5900" max="5900" width="10.26953125" style="117" bestFit="1" customWidth="1"/>
    <col min="5901" max="5901" width="12.7265625" style="117" bestFit="1" customWidth="1"/>
    <col min="5902" max="5902" width="12.453125" style="117" bestFit="1" customWidth="1"/>
    <col min="5903" max="5903" width="11.453125" style="117"/>
    <col min="5904" max="5904" width="12.1796875" style="117" bestFit="1" customWidth="1"/>
    <col min="5905" max="5905" width="11.453125" style="117"/>
    <col min="5906" max="5906" width="12.1796875" style="117" bestFit="1" customWidth="1"/>
    <col min="5907" max="5910" width="11.453125" style="117"/>
    <col min="5911" max="5911" width="11.1796875" style="117" customWidth="1"/>
    <col min="5912" max="6144" width="11.453125" style="117"/>
    <col min="6145" max="6145" width="22.26953125" style="117" customWidth="1"/>
    <col min="6146" max="6146" width="19.81640625" style="117" customWidth="1"/>
    <col min="6147" max="6147" width="20.1796875" style="117" customWidth="1"/>
    <col min="6148" max="6148" width="17" style="117" customWidth="1"/>
    <col min="6149" max="6149" width="17.453125" style="117" customWidth="1"/>
    <col min="6150" max="6150" width="17.7265625" style="117" customWidth="1"/>
    <col min="6151" max="6151" width="11.453125" style="117"/>
    <col min="6152" max="6152" width="2.7265625" style="117" customWidth="1"/>
    <col min="6153" max="6153" width="15.54296875" style="117" customWidth="1"/>
    <col min="6154" max="6154" width="22.54296875" style="117" customWidth="1"/>
    <col min="6155" max="6155" width="19.7265625" style="117" customWidth="1"/>
    <col min="6156" max="6156" width="10.26953125" style="117" bestFit="1" customWidth="1"/>
    <col min="6157" max="6157" width="12.7265625" style="117" bestFit="1" customWidth="1"/>
    <col min="6158" max="6158" width="12.453125" style="117" bestFit="1" customWidth="1"/>
    <col min="6159" max="6159" width="11.453125" style="117"/>
    <col min="6160" max="6160" width="12.1796875" style="117" bestFit="1" customWidth="1"/>
    <col min="6161" max="6161" width="11.453125" style="117"/>
    <col min="6162" max="6162" width="12.1796875" style="117" bestFit="1" customWidth="1"/>
    <col min="6163" max="6166" width="11.453125" style="117"/>
    <col min="6167" max="6167" width="11.1796875" style="117" customWidth="1"/>
    <col min="6168" max="6400" width="11.453125" style="117"/>
    <col min="6401" max="6401" width="22.26953125" style="117" customWidth="1"/>
    <col min="6402" max="6402" width="19.81640625" style="117" customWidth="1"/>
    <col min="6403" max="6403" width="20.1796875" style="117" customWidth="1"/>
    <col min="6404" max="6404" width="17" style="117" customWidth="1"/>
    <col min="6405" max="6405" width="17.453125" style="117" customWidth="1"/>
    <col min="6406" max="6406" width="17.7265625" style="117" customWidth="1"/>
    <col min="6407" max="6407" width="11.453125" style="117"/>
    <col min="6408" max="6408" width="2.7265625" style="117" customWidth="1"/>
    <col min="6409" max="6409" width="15.54296875" style="117" customWidth="1"/>
    <col min="6410" max="6410" width="22.54296875" style="117" customWidth="1"/>
    <col min="6411" max="6411" width="19.7265625" style="117" customWidth="1"/>
    <col min="6412" max="6412" width="10.26953125" style="117" bestFit="1" customWidth="1"/>
    <col min="6413" max="6413" width="12.7265625" style="117" bestFit="1" customWidth="1"/>
    <col min="6414" max="6414" width="12.453125" style="117" bestFit="1" customWidth="1"/>
    <col min="6415" max="6415" width="11.453125" style="117"/>
    <col min="6416" max="6416" width="12.1796875" style="117" bestFit="1" customWidth="1"/>
    <col min="6417" max="6417" width="11.453125" style="117"/>
    <col min="6418" max="6418" width="12.1796875" style="117" bestFit="1" customWidth="1"/>
    <col min="6419" max="6422" width="11.453125" style="117"/>
    <col min="6423" max="6423" width="11.1796875" style="117" customWidth="1"/>
    <col min="6424" max="6656" width="11.453125" style="117"/>
    <col min="6657" max="6657" width="22.26953125" style="117" customWidth="1"/>
    <col min="6658" max="6658" width="19.81640625" style="117" customWidth="1"/>
    <col min="6659" max="6659" width="20.1796875" style="117" customWidth="1"/>
    <col min="6660" max="6660" width="17" style="117" customWidth="1"/>
    <col min="6661" max="6661" width="17.453125" style="117" customWidth="1"/>
    <col min="6662" max="6662" width="17.7265625" style="117" customWidth="1"/>
    <col min="6663" max="6663" width="11.453125" style="117"/>
    <col min="6664" max="6664" width="2.7265625" style="117" customWidth="1"/>
    <col min="6665" max="6665" width="15.54296875" style="117" customWidth="1"/>
    <col min="6666" max="6666" width="22.54296875" style="117" customWidth="1"/>
    <col min="6667" max="6667" width="19.7265625" style="117" customWidth="1"/>
    <col min="6668" max="6668" width="10.26953125" style="117" bestFit="1" customWidth="1"/>
    <col min="6669" max="6669" width="12.7265625" style="117" bestFit="1" customWidth="1"/>
    <col min="6670" max="6670" width="12.453125" style="117" bestFit="1" customWidth="1"/>
    <col min="6671" max="6671" width="11.453125" style="117"/>
    <col min="6672" max="6672" width="12.1796875" style="117" bestFit="1" customWidth="1"/>
    <col min="6673" max="6673" width="11.453125" style="117"/>
    <col min="6674" max="6674" width="12.1796875" style="117" bestFit="1" customWidth="1"/>
    <col min="6675" max="6678" width="11.453125" style="117"/>
    <col min="6679" max="6679" width="11.1796875" style="117" customWidth="1"/>
    <col min="6680" max="6912" width="11.453125" style="117"/>
    <col min="6913" max="6913" width="22.26953125" style="117" customWidth="1"/>
    <col min="6914" max="6914" width="19.81640625" style="117" customWidth="1"/>
    <col min="6915" max="6915" width="20.1796875" style="117" customWidth="1"/>
    <col min="6916" max="6916" width="17" style="117" customWidth="1"/>
    <col min="6917" max="6917" width="17.453125" style="117" customWidth="1"/>
    <col min="6918" max="6918" width="17.7265625" style="117" customWidth="1"/>
    <col min="6919" max="6919" width="11.453125" style="117"/>
    <col min="6920" max="6920" width="2.7265625" style="117" customWidth="1"/>
    <col min="6921" max="6921" width="15.54296875" style="117" customWidth="1"/>
    <col min="6922" max="6922" width="22.54296875" style="117" customWidth="1"/>
    <col min="6923" max="6923" width="19.7265625" style="117" customWidth="1"/>
    <col min="6924" max="6924" width="10.26953125" style="117" bestFit="1" customWidth="1"/>
    <col min="6925" max="6925" width="12.7265625" style="117" bestFit="1" customWidth="1"/>
    <col min="6926" max="6926" width="12.453125" style="117" bestFit="1" customWidth="1"/>
    <col min="6927" max="6927" width="11.453125" style="117"/>
    <col min="6928" max="6928" width="12.1796875" style="117" bestFit="1" customWidth="1"/>
    <col min="6929" max="6929" width="11.453125" style="117"/>
    <col min="6930" max="6930" width="12.1796875" style="117" bestFit="1" customWidth="1"/>
    <col min="6931" max="6934" width="11.453125" style="117"/>
    <col min="6935" max="6935" width="11.1796875" style="117" customWidth="1"/>
    <col min="6936" max="7168" width="11.453125" style="117"/>
    <col min="7169" max="7169" width="22.26953125" style="117" customWidth="1"/>
    <col min="7170" max="7170" width="19.81640625" style="117" customWidth="1"/>
    <col min="7171" max="7171" width="20.1796875" style="117" customWidth="1"/>
    <col min="7172" max="7172" width="17" style="117" customWidth="1"/>
    <col min="7173" max="7173" width="17.453125" style="117" customWidth="1"/>
    <col min="7174" max="7174" width="17.7265625" style="117" customWidth="1"/>
    <col min="7175" max="7175" width="11.453125" style="117"/>
    <col min="7176" max="7176" width="2.7265625" style="117" customWidth="1"/>
    <col min="7177" max="7177" width="15.54296875" style="117" customWidth="1"/>
    <col min="7178" max="7178" width="22.54296875" style="117" customWidth="1"/>
    <col min="7179" max="7179" width="19.7265625" style="117" customWidth="1"/>
    <col min="7180" max="7180" width="10.26953125" style="117" bestFit="1" customWidth="1"/>
    <col min="7181" max="7181" width="12.7265625" style="117" bestFit="1" customWidth="1"/>
    <col min="7182" max="7182" width="12.453125" style="117" bestFit="1" customWidth="1"/>
    <col min="7183" max="7183" width="11.453125" style="117"/>
    <col min="7184" max="7184" width="12.1796875" style="117" bestFit="1" customWidth="1"/>
    <col min="7185" max="7185" width="11.453125" style="117"/>
    <col min="7186" max="7186" width="12.1796875" style="117" bestFit="1" customWidth="1"/>
    <col min="7187" max="7190" width="11.453125" style="117"/>
    <col min="7191" max="7191" width="11.1796875" style="117" customWidth="1"/>
    <col min="7192" max="7424" width="11.453125" style="117"/>
    <col min="7425" max="7425" width="22.26953125" style="117" customWidth="1"/>
    <col min="7426" max="7426" width="19.81640625" style="117" customWidth="1"/>
    <col min="7427" max="7427" width="20.1796875" style="117" customWidth="1"/>
    <col min="7428" max="7428" width="17" style="117" customWidth="1"/>
    <col min="7429" max="7429" width="17.453125" style="117" customWidth="1"/>
    <col min="7430" max="7430" width="17.7265625" style="117" customWidth="1"/>
    <col min="7431" max="7431" width="11.453125" style="117"/>
    <col min="7432" max="7432" width="2.7265625" style="117" customWidth="1"/>
    <col min="7433" max="7433" width="15.54296875" style="117" customWidth="1"/>
    <col min="7434" max="7434" width="22.54296875" style="117" customWidth="1"/>
    <col min="7435" max="7435" width="19.7265625" style="117" customWidth="1"/>
    <col min="7436" max="7436" width="10.26953125" style="117" bestFit="1" customWidth="1"/>
    <col min="7437" max="7437" width="12.7265625" style="117" bestFit="1" customWidth="1"/>
    <col min="7438" max="7438" width="12.453125" style="117" bestFit="1" customWidth="1"/>
    <col min="7439" max="7439" width="11.453125" style="117"/>
    <col min="7440" max="7440" width="12.1796875" style="117" bestFit="1" customWidth="1"/>
    <col min="7441" max="7441" width="11.453125" style="117"/>
    <col min="7442" max="7442" width="12.1796875" style="117" bestFit="1" customWidth="1"/>
    <col min="7443" max="7446" width="11.453125" style="117"/>
    <col min="7447" max="7447" width="11.1796875" style="117" customWidth="1"/>
    <col min="7448" max="7680" width="11.453125" style="117"/>
    <col min="7681" max="7681" width="22.26953125" style="117" customWidth="1"/>
    <col min="7682" max="7682" width="19.81640625" style="117" customWidth="1"/>
    <col min="7683" max="7683" width="20.1796875" style="117" customWidth="1"/>
    <col min="7684" max="7684" width="17" style="117" customWidth="1"/>
    <col min="7685" max="7685" width="17.453125" style="117" customWidth="1"/>
    <col min="7686" max="7686" width="17.7265625" style="117" customWidth="1"/>
    <col min="7687" max="7687" width="11.453125" style="117"/>
    <col min="7688" max="7688" width="2.7265625" style="117" customWidth="1"/>
    <col min="7689" max="7689" width="15.54296875" style="117" customWidth="1"/>
    <col min="7690" max="7690" width="22.54296875" style="117" customWidth="1"/>
    <col min="7691" max="7691" width="19.7265625" style="117" customWidth="1"/>
    <col min="7692" max="7692" width="10.26953125" style="117" bestFit="1" customWidth="1"/>
    <col min="7693" max="7693" width="12.7265625" style="117" bestFit="1" customWidth="1"/>
    <col min="7694" max="7694" width="12.453125" style="117" bestFit="1" customWidth="1"/>
    <col min="7695" max="7695" width="11.453125" style="117"/>
    <col min="7696" max="7696" width="12.1796875" style="117" bestFit="1" customWidth="1"/>
    <col min="7697" max="7697" width="11.453125" style="117"/>
    <col min="7698" max="7698" width="12.1796875" style="117" bestFit="1" customWidth="1"/>
    <col min="7699" max="7702" width="11.453125" style="117"/>
    <col min="7703" max="7703" width="11.1796875" style="117" customWidth="1"/>
    <col min="7704" max="7936" width="11.453125" style="117"/>
    <col min="7937" max="7937" width="22.26953125" style="117" customWidth="1"/>
    <col min="7938" max="7938" width="19.81640625" style="117" customWidth="1"/>
    <col min="7939" max="7939" width="20.1796875" style="117" customWidth="1"/>
    <col min="7940" max="7940" width="17" style="117" customWidth="1"/>
    <col min="7941" max="7941" width="17.453125" style="117" customWidth="1"/>
    <col min="7942" max="7942" width="17.7265625" style="117" customWidth="1"/>
    <col min="7943" max="7943" width="11.453125" style="117"/>
    <col min="7944" max="7944" width="2.7265625" style="117" customWidth="1"/>
    <col min="7945" max="7945" width="15.54296875" style="117" customWidth="1"/>
    <col min="7946" max="7946" width="22.54296875" style="117" customWidth="1"/>
    <col min="7947" max="7947" width="19.7265625" style="117" customWidth="1"/>
    <col min="7948" max="7948" width="10.26953125" style="117" bestFit="1" customWidth="1"/>
    <col min="7949" max="7949" width="12.7265625" style="117" bestFit="1" customWidth="1"/>
    <col min="7950" max="7950" width="12.453125" style="117" bestFit="1" customWidth="1"/>
    <col min="7951" max="7951" width="11.453125" style="117"/>
    <col min="7952" max="7952" width="12.1796875" style="117" bestFit="1" customWidth="1"/>
    <col min="7953" max="7953" width="11.453125" style="117"/>
    <col min="7954" max="7954" width="12.1796875" style="117" bestFit="1" customWidth="1"/>
    <col min="7955" max="7958" width="11.453125" style="117"/>
    <col min="7959" max="7959" width="11.1796875" style="117" customWidth="1"/>
    <col min="7960" max="8192" width="11.453125" style="117"/>
    <col min="8193" max="8193" width="22.26953125" style="117" customWidth="1"/>
    <col min="8194" max="8194" width="19.81640625" style="117" customWidth="1"/>
    <col min="8195" max="8195" width="20.1796875" style="117" customWidth="1"/>
    <col min="8196" max="8196" width="17" style="117" customWidth="1"/>
    <col min="8197" max="8197" width="17.453125" style="117" customWidth="1"/>
    <col min="8198" max="8198" width="17.7265625" style="117" customWidth="1"/>
    <col min="8199" max="8199" width="11.453125" style="117"/>
    <col min="8200" max="8200" width="2.7265625" style="117" customWidth="1"/>
    <col min="8201" max="8201" width="15.54296875" style="117" customWidth="1"/>
    <col min="8202" max="8202" width="22.54296875" style="117" customWidth="1"/>
    <col min="8203" max="8203" width="19.7265625" style="117" customWidth="1"/>
    <col min="8204" max="8204" width="10.26953125" style="117" bestFit="1" customWidth="1"/>
    <col min="8205" max="8205" width="12.7265625" style="117" bestFit="1" customWidth="1"/>
    <col min="8206" max="8206" width="12.453125" style="117" bestFit="1" customWidth="1"/>
    <col min="8207" max="8207" width="11.453125" style="117"/>
    <col min="8208" max="8208" width="12.1796875" style="117" bestFit="1" customWidth="1"/>
    <col min="8209" max="8209" width="11.453125" style="117"/>
    <col min="8210" max="8210" width="12.1796875" style="117" bestFit="1" customWidth="1"/>
    <col min="8211" max="8214" width="11.453125" style="117"/>
    <col min="8215" max="8215" width="11.1796875" style="117" customWidth="1"/>
    <col min="8216" max="8448" width="11.453125" style="117"/>
    <col min="8449" max="8449" width="22.26953125" style="117" customWidth="1"/>
    <col min="8450" max="8450" width="19.81640625" style="117" customWidth="1"/>
    <col min="8451" max="8451" width="20.1796875" style="117" customWidth="1"/>
    <col min="8452" max="8452" width="17" style="117" customWidth="1"/>
    <col min="8453" max="8453" width="17.453125" style="117" customWidth="1"/>
    <col min="8454" max="8454" width="17.7265625" style="117" customWidth="1"/>
    <col min="8455" max="8455" width="11.453125" style="117"/>
    <col min="8456" max="8456" width="2.7265625" style="117" customWidth="1"/>
    <col min="8457" max="8457" width="15.54296875" style="117" customWidth="1"/>
    <col min="8458" max="8458" width="22.54296875" style="117" customWidth="1"/>
    <col min="8459" max="8459" width="19.7265625" style="117" customWidth="1"/>
    <col min="8460" max="8460" width="10.26953125" style="117" bestFit="1" customWidth="1"/>
    <col min="8461" max="8461" width="12.7265625" style="117" bestFit="1" customWidth="1"/>
    <col min="8462" max="8462" width="12.453125" style="117" bestFit="1" customWidth="1"/>
    <col min="8463" max="8463" width="11.453125" style="117"/>
    <col min="8464" max="8464" width="12.1796875" style="117" bestFit="1" customWidth="1"/>
    <col min="8465" max="8465" width="11.453125" style="117"/>
    <col min="8466" max="8466" width="12.1796875" style="117" bestFit="1" customWidth="1"/>
    <col min="8467" max="8470" width="11.453125" style="117"/>
    <col min="8471" max="8471" width="11.1796875" style="117" customWidth="1"/>
    <col min="8472" max="8704" width="11.453125" style="117"/>
    <col min="8705" max="8705" width="22.26953125" style="117" customWidth="1"/>
    <col min="8706" max="8706" width="19.81640625" style="117" customWidth="1"/>
    <col min="8707" max="8707" width="20.1796875" style="117" customWidth="1"/>
    <col min="8708" max="8708" width="17" style="117" customWidth="1"/>
    <col min="8709" max="8709" width="17.453125" style="117" customWidth="1"/>
    <col min="8710" max="8710" width="17.7265625" style="117" customWidth="1"/>
    <col min="8711" max="8711" width="11.453125" style="117"/>
    <col min="8712" max="8712" width="2.7265625" style="117" customWidth="1"/>
    <col min="8713" max="8713" width="15.54296875" style="117" customWidth="1"/>
    <col min="8714" max="8714" width="22.54296875" style="117" customWidth="1"/>
    <col min="8715" max="8715" width="19.7265625" style="117" customWidth="1"/>
    <col min="8716" max="8716" width="10.26953125" style="117" bestFit="1" customWidth="1"/>
    <col min="8717" max="8717" width="12.7265625" style="117" bestFit="1" customWidth="1"/>
    <col min="8718" max="8718" width="12.453125" style="117" bestFit="1" customWidth="1"/>
    <col min="8719" max="8719" width="11.453125" style="117"/>
    <col min="8720" max="8720" width="12.1796875" style="117" bestFit="1" customWidth="1"/>
    <col min="8721" max="8721" width="11.453125" style="117"/>
    <col min="8722" max="8722" width="12.1796875" style="117" bestFit="1" customWidth="1"/>
    <col min="8723" max="8726" width="11.453125" style="117"/>
    <col min="8727" max="8727" width="11.1796875" style="117" customWidth="1"/>
    <col min="8728" max="8960" width="11.453125" style="117"/>
    <col min="8961" max="8961" width="22.26953125" style="117" customWidth="1"/>
    <col min="8962" max="8962" width="19.81640625" style="117" customWidth="1"/>
    <col min="8963" max="8963" width="20.1796875" style="117" customWidth="1"/>
    <col min="8964" max="8964" width="17" style="117" customWidth="1"/>
    <col min="8965" max="8965" width="17.453125" style="117" customWidth="1"/>
    <col min="8966" max="8966" width="17.7265625" style="117" customWidth="1"/>
    <col min="8967" max="8967" width="11.453125" style="117"/>
    <col min="8968" max="8968" width="2.7265625" style="117" customWidth="1"/>
    <col min="8969" max="8969" width="15.54296875" style="117" customWidth="1"/>
    <col min="8970" max="8970" width="22.54296875" style="117" customWidth="1"/>
    <col min="8971" max="8971" width="19.7265625" style="117" customWidth="1"/>
    <col min="8972" max="8972" width="10.26953125" style="117" bestFit="1" customWidth="1"/>
    <col min="8973" max="8973" width="12.7265625" style="117" bestFit="1" customWidth="1"/>
    <col min="8974" max="8974" width="12.453125" style="117" bestFit="1" customWidth="1"/>
    <col min="8975" max="8975" width="11.453125" style="117"/>
    <col min="8976" max="8976" width="12.1796875" style="117" bestFit="1" customWidth="1"/>
    <col min="8977" max="8977" width="11.453125" style="117"/>
    <col min="8978" max="8978" width="12.1796875" style="117" bestFit="1" customWidth="1"/>
    <col min="8979" max="8982" width="11.453125" style="117"/>
    <col min="8983" max="8983" width="11.1796875" style="117" customWidth="1"/>
    <col min="8984" max="9216" width="11.453125" style="117"/>
    <col min="9217" max="9217" width="22.26953125" style="117" customWidth="1"/>
    <col min="9218" max="9218" width="19.81640625" style="117" customWidth="1"/>
    <col min="9219" max="9219" width="20.1796875" style="117" customWidth="1"/>
    <col min="9220" max="9220" width="17" style="117" customWidth="1"/>
    <col min="9221" max="9221" width="17.453125" style="117" customWidth="1"/>
    <col min="9222" max="9222" width="17.7265625" style="117" customWidth="1"/>
    <col min="9223" max="9223" width="11.453125" style="117"/>
    <col min="9224" max="9224" width="2.7265625" style="117" customWidth="1"/>
    <col min="9225" max="9225" width="15.54296875" style="117" customWidth="1"/>
    <col min="9226" max="9226" width="22.54296875" style="117" customWidth="1"/>
    <col min="9227" max="9227" width="19.7265625" style="117" customWidth="1"/>
    <col min="9228" max="9228" width="10.26953125" style="117" bestFit="1" customWidth="1"/>
    <col min="9229" max="9229" width="12.7265625" style="117" bestFit="1" customWidth="1"/>
    <col min="9230" max="9230" width="12.453125" style="117" bestFit="1" customWidth="1"/>
    <col min="9231" max="9231" width="11.453125" style="117"/>
    <col min="9232" max="9232" width="12.1796875" style="117" bestFit="1" customWidth="1"/>
    <col min="9233" max="9233" width="11.453125" style="117"/>
    <col min="9234" max="9234" width="12.1796875" style="117" bestFit="1" customWidth="1"/>
    <col min="9235" max="9238" width="11.453125" style="117"/>
    <col min="9239" max="9239" width="11.1796875" style="117" customWidth="1"/>
    <col min="9240" max="9472" width="11.453125" style="117"/>
    <col min="9473" max="9473" width="22.26953125" style="117" customWidth="1"/>
    <col min="9474" max="9474" width="19.81640625" style="117" customWidth="1"/>
    <col min="9475" max="9475" width="20.1796875" style="117" customWidth="1"/>
    <col min="9476" max="9476" width="17" style="117" customWidth="1"/>
    <col min="9477" max="9477" width="17.453125" style="117" customWidth="1"/>
    <col min="9478" max="9478" width="17.7265625" style="117" customWidth="1"/>
    <col min="9479" max="9479" width="11.453125" style="117"/>
    <col min="9480" max="9480" width="2.7265625" style="117" customWidth="1"/>
    <col min="9481" max="9481" width="15.54296875" style="117" customWidth="1"/>
    <col min="9482" max="9482" width="22.54296875" style="117" customWidth="1"/>
    <col min="9483" max="9483" width="19.7265625" style="117" customWidth="1"/>
    <col min="9484" max="9484" width="10.26953125" style="117" bestFit="1" customWidth="1"/>
    <col min="9485" max="9485" width="12.7265625" style="117" bestFit="1" customWidth="1"/>
    <col min="9486" max="9486" width="12.453125" style="117" bestFit="1" customWidth="1"/>
    <col min="9487" max="9487" width="11.453125" style="117"/>
    <col min="9488" max="9488" width="12.1796875" style="117" bestFit="1" customWidth="1"/>
    <col min="9489" max="9489" width="11.453125" style="117"/>
    <col min="9490" max="9490" width="12.1796875" style="117" bestFit="1" customWidth="1"/>
    <col min="9491" max="9494" width="11.453125" style="117"/>
    <col min="9495" max="9495" width="11.1796875" style="117" customWidth="1"/>
    <col min="9496" max="9728" width="11.453125" style="117"/>
    <col min="9729" max="9729" width="22.26953125" style="117" customWidth="1"/>
    <col min="9730" max="9730" width="19.81640625" style="117" customWidth="1"/>
    <col min="9731" max="9731" width="20.1796875" style="117" customWidth="1"/>
    <col min="9732" max="9732" width="17" style="117" customWidth="1"/>
    <col min="9733" max="9733" width="17.453125" style="117" customWidth="1"/>
    <col min="9734" max="9734" width="17.7265625" style="117" customWidth="1"/>
    <col min="9735" max="9735" width="11.453125" style="117"/>
    <col min="9736" max="9736" width="2.7265625" style="117" customWidth="1"/>
    <col min="9737" max="9737" width="15.54296875" style="117" customWidth="1"/>
    <col min="9738" max="9738" width="22.54296875" style="117" customWidth="1"/>
    <col min="9739" max="9739" width="19.7265625" style="117" customWidth="1"/>
    <col min="9740" max="9740" width="10.26953125" style="117" bestFit="1" customWidth="1"/>
    <col min="9741" max="9741" width="12.7265625" style="117" bestFit="1" customWidth="1"/>
    <col min="9742" max="9742" width="12.453125" style="117" bestFit="1" customWidth="1"/>
    <col min="9743" max="9743" width="11.453125" style="117"/>
    <col min="9744" max="9744" width="12.1796875" style="117" bestFit="1" customWidth="1"/>
    <col min="9745" max="9745" width="11.453125" style="117"/>
    <col min="9746" max="9746" width="12.1796875" style="117" bestFit="1" customWidth="1"/>
    <col min="9747" max="9750" width="11.453125" style="117"/>
    <col min="9751" max="9751" width="11.1796875" style="117" customWidth="1"/>
    <col min="9752" max="9984" width="11.453125" style="117"/>
    <col min="9985" max="9985" width="22.26953125" style="117" customWidth="1"/>
    <col min="9986" max="9986" width="19.81640625" style="117" customWidth="1"/>
    <col min="9987" max="9987" width="20.1796875" style="117" customWidth="1"/>
    <col min="9988" max="9988" width="17" style="117" customWidth="1"/>
    <col min="9989" max="9989" width="17.453125" style="117" customWidth="1"/>
    <col min="9990" max="9990" width="17.7265625" style="117" customWidth="1"/>
    <col min="9991" max="9991" width="11.453125" style="117"/>
    <col min="9992" max="9992" width="2.7265625" style="117" customWidth="1"/>
    <col min="9993" max="9993" width="15.54296875" style="117" customWidth="1"/>
    <col min="9994" max="9994" width="22.54296875" style="117" customWidth="1"/>
    <col min="9995" max="9995" width="19.7265625" style="117" customWidth="1"/>
    <col min="9996" max="9996" width="10.26953125" style="117" bestFit="1" customWidth="1"/>
    <col min="9997" max="9997" width="12.7265625" style="117" bestFit="1" customWidth="1"/>
    <col min="9998" max="9998" width="12.453125" style="117" bestFit="1" customWidth="1"/>
    <col min="9999" max="9999" width="11.453125" style="117"/>
    <col min="10000" max="10000" width="12.1796875" style="117" bestFit="1" customWidth="1"/>
    <col min="10001" max="10001" width="11.453125" style="117"/>
    <col min="10002" max="10002" width="12.1796875" style="117" bestFit="1" customWidth="1"/>
    <col min="10003" max="10006" width="11.453125" style="117"/>
    <col min="10007" max="10007" width="11.1796875" style="117" customWidth="1"/>
    <col min="10008" max="10240" width="11.453125" style="117"/>
    <col min="10241" max="10241" width="22.26953125" style="117" customWidth="1"/>
    <col min="10242" max="10242" width="19.81640625" style="117" customWidth="1"/>
    <col min="10243" max="10243" width="20.1796875" style="117" customWidth="1"/>
    <col min="10244" max="10244" width="17" style="117" customWidth="1"/>
    <col min="10245" max="10245" width="17.453125" style="117" customWidth="1"/>
    <col min="10246" max="10246" width="17.7265625" style="117" customWidth="1"/>
    <col min="10247" max="10247" width="11.453125" style="117"/>
    <col min="10248" max="10248" width="2.7265625" style="117" customWidth="1"/>
    <col min="10249" max="10249" width="15.54296875" style="117" customWidth="1"/>
    <col min="10250" max="10250" width="22.54296875" style="117" customWidth="1"/>
    <col min="10251" max="10251" width="19.7265625" style="117" customWidth="1"/>
    <col min="10252" max="10252" width="10.26953125" style="117" bestFit="1" customWidth="1"/>
    <col min="10253" max="10253" width="12.7265625" style="117" bestFit="1" customWidth="1"/>
    <col min="10254" max="10254" width="12.453125" style="117" bestFit="1" customWidth="1"/>
    <col min="10255" max="10255" width="11.453125" style="117"/>
    <col min="10256" max="10256" width="12.1796875" style="117" bestFit="1" customWidth="1"/>
    <col min="10257" max="10257" width="11.453125" style="117"/>
    <col min="10258" max="10258" width="12.1796875" style="117" bestFit="1" customWidth="1"/>
    <col min="10259" max="10262" width="11.453125" style="117"/>
    <col min="10263" max="10263" width="11.1796875" style="117" customWidth="1"/>
    <col min="10264" max="10496" width="11.453125" style="117"/>
    <col min="10497" max="10497" width="22.26953125" style="117" customWidth="1"/>
    <col min="10498" max="10498" width="19.81640625" style="117" customWidth="1"/>
    <col min="10499" max="10499" width="20.1796875" style="117" customWidth="1"/>
    <col min="10500" max="10500" width="17" style="117" customWidth="1"/>
    <col min="10501" max="10501" width="17.453125" style="117" customWidth="1"/>
    <col min="10502" max="10502" width="17.7265625" style="117" customWidth="1"/>
    <col min="10503" max="10503" width="11.453125" style="117"/>
    <col min="10504" max="10504" width="2.7265625" style="117" customWidth="1"/>
    <col min="10505" max="10505" width="15.54296875" style="117" customWidth="1"/>
    <col min="10506" max="10506" width="22.54296875" style="117" customWidth="1"/>
    <col min="10507" max="10507" width="19.7265625" style="117" customWidth="1"/>
    <col min="10508" max="10508" width="10.26953125" style="117" bestFit="1" customWidth="1"/>
    <col min="10509" max="10509" width="12.7265625" style="117" bestFit="1" customWidth="1"/>
    <col min="10510" max="10510" width="12.453125" style="117" bestFit="1" customWidth="1"/>
    <col min="10511" max="10511" width="11.453125" style="117"/>
    <col min="10512" max="10512" width="12.1796875" style="117" bestFit="1" customWidth="1"/>
    <col min="10513" max="10513" width="11.453125" style="117"/>
    <col min="10514" max="10514" width="12.1796875" style="117" bestFit="1" customWidth="1"/>
    <col min="10515" max="10518" width="11.453125" style="117"/>
    <col min="10519" max="10519" width="11.1796875" style="117" customWidth="1"/>
    <col min="10520" max="10752" width="11.453125" style="117"/>
    <col min="10753" max="10753" width="22.26953125" style="117" customWidth="1"/>
    <col min="10754" max="10754" width="19.81640625" style="117" customWidth="1"/>
    <col min="10755" max="10755" width="20.1796875" style="117" customWidth="1"/>
    <col min="10756" max="10756" width="17" style="117" customWidth="1"/>
    <col min="10757" max="10757" width="17.453125" style="117" customWidth="1"/>
    <col min="10758" max="10758" width="17.7265625" style="117" customWidth="1"/>
    <col min="10759" max="10759" width="11.453125" style="117"/>
    <col min="10760" max="10760" width="2.7265625" style="117" customWidth="1"/>
    <col min="10761" max="10761" width="15.54296875" style="117" customWidth="1"/>
    <col min="10762" max="10762" width="22.54296875" style="117" customWidth="1"/>
    <col min="10763" max="10763" width="19.7265625" style="117" customWidth="1"/>
    <col min="10764" max="10764" width="10.26953125" style="117" bestFit="1" customWidth="1"/>
    <col min="10765" max="10765" width="12.7265625" style="117" bestFit="1" customWidth="1"/>
    <col min="10766" max="10766" width="12.453125" style="117" bestFit="1" customWidth="1"/>
    <col min="10767" max="10767" width="11.453125" style="117"/>
    <col min="10768" max="10768" width="12.1796875" style="117" bestFit="1" customWidth="1"/>
    <col min="10769" max="10769" width="11.453125" style="117"/>
    <col min="10770" max="10770" width="12.1796875" style="117" bestFit="1" customWidth="1"/>
    <col min="10771" max="10774" width="11.453125" style="117"/>
    <col min="10775" max="10775" width="11.1796875" style="117" customWidth="1"/>
    <col min="10776" max="11008" width="11.453125" style="117"/>
    <col min="11009" max="11009" width="22.26953125" style="117" customWidth="1"/>
    <col min="11010" max="11010" width="19.81640625" style="117" customWidth="1"/>
    <col min="11011" max="11011" width="20.1796875" style="117" customWidth="1"/>
    <col min="11012" max="11012" width="17" style="117" customWidth="1"/>
    <col min="11013" max="11013" width="17.453125" style="117" customWidth="1"/>
    <col min="11014" max="11014" width="17.7265625" style="117" customWidth="1"/>
    <col min="11015" max="11015" width="11.453125" style="117"/>
    <col min="11016" max="11016" width="2.7265625" style="117" customWidth="1"/>
    <col min="11017" max="11017" width="15.54296875" style="117" customWidth="1"/>
    <col min="11018" max="11018" width="22.54296875" style="117" customWidth="1"/>
    <col min="11019" max="11019" width="19.7265625" style="117" customWidth="1"/>
    <col min="11020" max="11020" width="10.26953125" style="117" bestFit="1" customWidth="1"/>
    <col min="11021" max="11021" width="12.7265625" style="117" bestFit="1" customWidth="1"/>
    <col min="11022" max="11022" width="12.453125" style="117" bestFit="1" customWidth="1"/>
    <col min="11023" max="11023" width="11.453125" style="117"/>
    <col min="11024" max="11024" width="12.1796875" style="117" bestFit="1" customWidth="1"/>
    <col min="11025" max="11025" width="11.453125" style="117"/>
    <col min="11026" max="11026" width="12.1796875" style="117" bestFit="1" customWidth="1"/>
    <col min="11027" max="11030" width="11.453125" style="117"/>
    <col min="11031" max="11031" width="11.1796875" style="117" customWidth="1"/>
    <col min="11032" max="11264" width="11.453125" style="117"/>
    <col min="11265" max="11265" width="22.26953125" style="117" customWidth="1"/>
    <col min="11266" max="11266" width="19.81640625" style="117" customWidth="1"/>
    <col min="11267" max="11267" width="20.1796875" style="117" customWidth="1"/>
    <col min="11268" max="11268" width="17" style="117" customWidth="1"/>
    <col min="11269" max="11269" width="17.453125" style="117" customWidth="1"/>
    <col min="11270" max="11270" width="17.7265625" style="117" customWidth="1"/>
    <col min="11271" max="11271" width="11.453125" style="117"/>
    <col min="11272" max="11272" width="2.7265625" style="117" customWidth="1"/>
    <col min="11273" max="11273" width="15.54296875" style="117" customWidth="1"/>
    <col min="11274" max="11274" width="22.54296875" style="117" customWidth="1"/>
    <col min="11275" max="11275" width="19.7265625" style="117" customWidth="1"/>
    <col min="11276" max="11276" width="10.26953125" style="117" bestFit="1" customWidth="1"/>
    <col min="11277" max="11277" width="12.7265625" style="117" bestFit="1" customWidth="1"/>
    <col min="11278" max="11278" width="12.453125" style="117" bestFit="1" customWidth="1"/>
    <col min="11279" max="11279" width="11.453125" style="117"/>
    <col min="11280" max="11280" width="12.1796875" style="117" bestFit="1" customWidth="1"/>
    <col min="11281" max="11281" width="11.453125" style="117"/>
    <col min="11282" max="11282" width="12.1796875" style="117" bestFit="1" customWidth="1"/>
    <col min="11283" max="11286" width="11.453125" style="117"/>
    <col min="11287" max="11287" width="11.1796875" style="117" customWidth="1"/>
    <col min="11288" max="11520" width="11.453125" style="117"/>
    <col min="11521" max="11521" width="22.26953125" style="117" customWidth="1"/>
    <col min="11522" max="11522" width="19.81640625" style="117" customWidth="1"/>
    <col min="11523" max="11523" width="20.1796875" style="117" customWidth="1"/>
    <col min="11524" max="11524" width="17" style="117" customWidth="1"/>
    <col min="11525" max="11525" width="17.453125" style="117" customWidth="1"/>
    <col min="11526" max="11526" width="17.7265625" style="117" customWidth="1"/>
    <col min="11527" max="11527" width="11.453125" style="117"/>
    <col min="11528" max="11528" width="2.7265625" style="117" customWidth="1"/>
    <col min="11529" max="11529" width="15.54296875" style="117" customWidth="1"/>
    <col min="11530" max="11530" width="22.54296875" style="117" customWidth="1"/>
    <col min="11531" max="11531" width="19.7265625" style="117" customWidth="1"/>
    <col min="11532" max="11532" width="10.26953125" style="117" bestFit="1" customWidth="1"/>
    <col min="11533" max="11533" width="12.7265625" style="117" bestFit="1" customWidth="1"/>
    <col min="11534" max="11534" width="12.453125" style="117" bestFit="1" customWidth="1"/>
    <col min="11535" max="11535" width="11.453125" style="117"/>
    <col min="11536" max="11536" width="12.1796875" style="117" bestFit="1" customWidth="1"/>
    <col min="11537" max="11537" width="11.453125" style="117"/>
    <col min="11538" max="11538" width="12.1796875" style="117" bestFit="1" customWidth="1"/>
    <col min="11539" max="11542" width="11.453125" style="117"/>
    <col min="11543" max="11543" width="11.1796875" style="117" customWidth="1"/>
    <col min="11544" max="11776" width="11.453125" style="117"/>
    <col min="11777" max="11777" width="22.26953125" style="117" customWidth="1"/>
    <col min="11778" max="11778" width="19.81640625" style="117" customWidth="1"/>
    <col min="11779" max="11779" width="20.1796875" style="117" customWidth="1"/>
    <col min="11780" max="11780" width="17" style="117" customWidth="1"/>
    <col min="11781" max="11781" width="17.453125" style="117" customWidth="1"/>
    <col min="11782" max="11782" width="17.7265625" style="117" customWidth="1"/>
    <col min="11783" max="11783" width="11.453125" style="117"/>
    <col min="11784" max="11784" width="2.7265625" style="117" customWidth="1"/>
    <col min="11785" max="11785" width="15.54296875" style="117" customWidth="1"/>
    <col min="11786" max="11786" width="22.54296875" style="117" customWidth="1"/>
    <col min="11787" max="11787" width="19.7265625" style="117" customWidth="1"/>
    <col min="11788" max="11788" width="10.26953125" style="117" bestFit="1" customWidth="1"/>
    <col min="11789" max="11789" width="12.7265625" style="117" bestFit="1" customWidth="1"/>
    <col min="11790" max="11790" width="12.453125" style="117" bestFit="1" customWidth="1"/>
    <col min="11791" max="11791" width="11.453125" style="117"/>
    <col min="11792" max="11792" width="12.1796875" style="117" bestFit="1" customWidth="1"/>
    <col min="11793" max="11793" width="11.453125" style="117"/>
    <col min="11794" max="11794" width="12.1796875" style="117" bestFit="1" customWidth="1"/>
    <col min="11795" max="11798" width="11.453125" style="117"/>
    <col min="11799" max="11799" width="11.1796875" style="117" customWidth="1"/>
    <col min="11800" max="12032" width="11.453125" style="117"/>
    <col min="12033" max="12033" width="22.26953125" style="117" customWidth="1"/>
    <col min="12034" max="12034" width="19.81640625" style="117" customWidth="1"/>
    <col min="12035" max="12035" width="20.1796875" style="117" customWidth="1"/>
    <col min="12036" max="12036" width="17" style="117" customWidth="1"/>
    <col min="12037" max="12037" width="17.453125" style="117" customWidth="1"/>
    <col min="12038" max="12038" width="17.7265625" style="117" customWidth="1"/>
    <col min="12039" max="12039" width="11.453125" style="117"/>
    <col min="12040" max="12040" width="2.7265625" style="117" customWidth="1"/>
    <col min="12041" max="12041" width="15.54296875" style="117" customWidth="1"/>
    <col min="12042" max="12042" width="22.54296875" style="117" customWidth="1"/>
    <col min="12043" max="12043" width="19.7265625" style="117" customWidth="1"/>
    <col min="12044" max="12044" width="10.26953125" style="117" bestFit="1" customWidth="1"/>
    <col min="12045" max="12045" width="12.7265625" style="117" bestFit="1" customWidth="1"/>
    <col min="12046" max="12046" width="12.453125" style="117" bestFit="1" customWidth="1"/>
    <col min="12047" max="12047" width="11.453125" style="117"/>
    <col min="12048" max="12048" width="12.1796875" style="117" bestFit="1" customWidth="1"/>
    <col min="12049" max="12049" width="11.453125" style="117"/>
    <col min="12050" max="12050" width="12.1796875" style="117" bestFit="1" customWidth="1"/>
    <col min="12051" max="12054" width="11.453125" style="117"/>
    <col min="12055" max="12055" width="11.1796875" style="117" customWidth="1"/>
    <col min="12056" max="12288" width="11.453125" style="117"/>
    <col min="12289" max="12289" width="22.26953125" style="117" customWidth="1"/>
    <col min="12290" max="12290" width="19.81640625" style="117" customWidth="1"/>
    <col min="12291" max="12291" width="20.1796875" style="117" customWidth="1"/>
    <col min="12292" max="12292" width="17" style="117" customWidth="1"/>
    <col min="12293" max="12293" width="17.453125" style="117" customWidth="1"/>
    <col min="12294" max="12294" width="17.7265625" style="117" customWidth="1"/>
    <col min="12295" max="12295" width="11.453125" style="117"/>
    <col min="12296" max="12296" width="2.7265625" style="117" customWidth="1"/>
    <col min="12297" max="12297" width="15.54296875" style="117" customWidth="1"/>
    <col min="12298" max="12298" width="22.54296875" style="117" customWidth="1"/>
    <col min="12299" max="12299" width="19.7265625" style="117" customWidth="1"/>
    <col min="12300" max="12300" width="10.26953125" style="117" bestFit="1" customWidth="1"/>
    <col min="12301" max="12301" width="12.7265625" style="117" bestFit="1" customWidth="1"/>
    <col min="12302" max="12302" width="12.453125" style="117" bestFit="1" customWidth="1"/>
    <col min="12303" max="12303" width="11.453125" style="117"/>
    <col min="12304" max="12304" width="12.1796875" style="117" bestFit="1" customWidth="1"/>
    <col min="12305" max="12305" width="11.453125" style="117"/>
    <col min="12306" max="12306" width="12.1796875" style="117" bestFit="1" customWidth="1"/>
    <col min="12307" max="12310" width="11.453125" style="117"/>
    <col min="12311" max="12311" width="11.1796875" style="117" customWidth="1"/>
    <col min="12312" max="12544" width="11.453125" style="117"/>
    <col min="12545" max="12545" width="22.26953125" style="117" customWidth="1"/>
    <col min="12546" max="12546" width="19.81640625" style="117" customWidth="1"/>
    <col min="12547" max="12547" width="20.1796875" style="117" customWidth="1"/>
    <col min="12548" max="12548" width="17" style="117" customWidth="1"/>
    <col min="12549" max="12549" width="17.453125" style="117" customWidth="1"/>
    <col min="12550" max="12550" width="17.7265625" style="117" customWidth="1"/>
    <col min="12551" max="12551" width="11.453125" style="117"/>
    <col min="12552" max="12552" width="2.7265625" style="117" customWidth="1"/>
    <col min="12553" max="12553" width="15.54296875" style="117" customWidth="1"/>
    <col min="12554" max="12554" width="22.54296875" style="117" customWidth="1"/>
    <col min="12555" max="12555" width="19.7265625" style="117" customWidth="1"/>
    <col min="12556" max="12556" width="10.26953125" style="117" bestFit="1" customWidth="1"/>
    <col min="12557" max="12557" width="12.7265625" style="117" bestFit="1" customWidth="1"/>
    <col min="12558" max="12558" width="12.453125" style="117" bestFit="1" customWidth="1"/>
    <col min="12559" max="12559" width="11.453125" style="117"/>
    <col min="12560" max="12560" width="12.1796875" style="117" bestFit="1" customWidth="1"/>
    <col min="12561" max="12561" width="11.453125" style="117"/>
    <col min="12562" max="12562" width="12.1796875" style="117" bestFit="1" customWidth="1"/>
    <col min="12563" max="12566" width="11.453125" style="117"/>
    <col min="12567" max="12567" width="11.1796875" style="117" customWidth="1"/>
    <col min="12568" max="12800" width="11.453125" style="117"/>
    <col min="12801" max="12801" width="22.26953125" style="117" customWidth="1"/>
    <col min="12802" max="12802" width="19.81640625" style="117" customWidth="1"/>
    <col min="12803" max="12803" width="20.1796875" style="117" customWidth="1"/>
    <col min="12804" max="12804" width="17" style="117" customWidth="1"/>
    <col min="12805" max="12805" width="17.453125" style="117" customWidth="1"/>
    <col min="12806" max="12806" width="17.7265625" style="117" customWidth="1"/>
    <col min="12807" max="12807" width="11.453125" style="117"/>
    <col min="12808" max="12808" width="2.7265625" style="117" customWidth="1"/>
    <col min="12809" max="12809" width="15.54296875" style="117" customWidth="1"/>
    <col min="12810" max="12810" width="22.54296875" style="117" customWidth="1"/>
    <col min="12811" max="12811" width="19.7265625" style="117" customWidth="1"/>
    <col min="12812" max="12812" width="10.26953125" style="117" bestFit="1" customWidth="1"/>
    <col min="12813" max="12813" width="12.7265625" style="117" bestFit="1" customWidth="1"/>
    <col min="12814" max="12814" width="12.453125" style="117" bestFit="1" customWidth="1"/>
    <col min="12815" max="12815" width="11.453125" style="117"/>
    <col min="12816" max="12816" width="12.1796875" style="117" bestFit="1" customWidth="1"/>
    <col min="12817" max="12817" width="11.453125" style="117"/>
    <col min="12818" max="12818" width="12.1796875" style="117" bestFit="1" customWidth="1"/>
    <col min="12819" max="12822" width="11.453125" style="117"/>
    <col min="12823" max="12823" width="11.1796875" style="117" customWidth="1"/>
    <col min="12824" max="13056" width="11.453125" style="117"/>
    <col min="13057" max="13057" width="22.26953125" style="117" customWidth="1"/>
    <col min="13058" max="13058" width="19.81640625" style="117" customWidth="1"/>
    <col min="13059" max="13059" width="20.1796875" style="117" customWidth="1"/>
    <col min="13060" max="13060" width="17" style="117" customWidth="1"/>
    <col min="13061" max="13061" width="17.453125" style="117" customWidth="1"/>
    <col min="13062" max="13062" width="17.7265625" style="117" customWidth="1"/>
    <col min="13063" max="13063" width="11.453125" style="117"/>
    <col min="13064" max="13064" width="2.7265625" style="117" customWidth="1"/>
    <col min="13065" max="13065" width="15.54296875" style="117" customWidth="1"/>
    <col min="13066" max="13066" width="22.54296875" style="117" customWidth="1"/>
    <col min="13067" max="13067" width="19.7265625" style="117" customWidth="1"/>
    <col min="13068" max="13068" width="10.26953125" style="117" bestFit="1" customWidth="1"/>
    <col min="13069" max="13069" width="12.7265625" style="117" bestFit="1" customWidth="1"/>
    <col min="13070" max="13070" width="12.453125" style="117" bestFit="1" customWidth="1"/>
    <col min="13071" max="13071" width="11.453125" style="117"/>
    <col min="13072" max="13072" width="12.1796875" style="117" bestFit="1" customWidth="1"/>
    <col min="13073" max="13073" width="11.453125" style="117"/>
    <col min="13074" max="13074" width="12.1796875" style="117" bestFit="1" customWidth="1"/>
    <col min="13075" max="13078" width="11.453125" style="117"/>
    <col min="13079" max="13079" width="11.1796875" style="117" customWidth="1"/>
    <col min="13080" max="13312" width="11.453125" style="117"/>
    <col min="13313" max="13313" width="22.26953125" style="117" customWidth="1"/>
    <col min="13314" max="13314" width="19.81640625" style="117" customWidth="1"/>
    <col min="13315" max="13315" width="20.1796875" style="117" customWidth="1"/>
    <col min="13316" max="13316" width="17" style="117" customWidth="1"/>
    <col min="13317" max="13317" width="17.453125" style="117" customWidth="1"/>
    <col min="13318" max="13318" width="17.7265625" style="117" customWidth="1"/>
    <col min="13319" max="13319" width="11.453125" style="117"/>
    <col min="13320" max="13320" width="2.7265625" style="117" customWidth="1"/>
    <col min="13321" max="13321" width="15.54296875" style="117" customWidth="1"/>
    <col min="13322" max="13322" width="22.54296875" style="117" customWidth="1"/>
    <col min="13323" max="13323" width="19.7265625" style="117" customWidth="1"/>
    <col min="13324" max="13324" width="10.26953125" style="117" bestFit="1" customWidth="1"/>
    <col min="13325" max="13325" width="12.7265625" style="117" bestFit="1" customWidth="1"/>
    <col min="13326" max="13326" width="12.453125" style="117" bestFit="1" customWidth="1"/>
    <col min="13327" max="13327" width="11.453125" style="117"/>
    <col min="13328" max="13328" width="12.1796875" style="117" bestFit="1" customWidth="1"/>
    <col min="13329" max="13329" width="11.453125" style="117"/>
    <col min="13330" max="13330" width="12.1796875" style="117" bestFit="1" customWidth="1"/>
    <col min="13331" max="13334" width="11.453125" style="117"/>
    <col min="13335" max="13335" width="11.1796875" style="117" customWidth="1"/>
    <col min="13336" max="13568" width="11.453125" style="117"/>
    <col min="13569" max="13569" width="22.26953125" style="117" customWidth="1"/>
    <col min="13570" max="13570" width="19.81640625" style="117" customWidth="1"/>
    <col min="13571" max="13571" width="20.1796875" style="117" customWidth="1"/>
    <col min="13572" max="13572" width="17" style="117" customWidth="1"/>
    <col min="13573" max="13573" width="17.453125" style="117" customWidth="1"/>
    <col min="13574" max="13574" width="17.7265625" style="117" customWidth="1"/>
    <col min="13575" max="13575" width="11.453125" style="117"/>
    <col min="13576" max="13576" width="2.7265625" style="117" customWidth="1"/>
    <col min="13577" max="13577" width="15.54296875" style="117" customWidth="1"/>
    <col min="13578" max="13578" width="22.54296875" style="117" customWidth="1"/>
    <col min="13579" max="13579" width="19.7265625" style="117" customWidth="1"/>
    <col min="13580" max="13580" width="10.26953125" style="117" bestFit="1" customWidth="1"/>
    <col min="13581" max="13581" width="12.7265625" style="117" bestFit="1" customWidth="1"/>
    <col min="13582" max="13582" width="12.453125" style="117" bestFit="1" customWidth="1"/>
    <col min="13583" max="13583" width="11.453125" style="117"/>
    <col min="13584" max="13584" width="12.1796875" style="117" bestFit="1" customWidth="1"/>
    <col min="13585" max="13585" width="11.453125" style="117"/>
    <col min="13586" max="13586" width="12.1796875" style="117" bestFit="1" customWidth="1"/>
    <col min="13587" max="13590" width="11.453125" style="117"/>
    <col min="13591" max="13591" width="11.1796875" style="117" customWidth="1"/>
    <col min="13592" max="13824" width="11.453125" style="117"/>
    <col min="13825" max="13825" width="22.26953125" style="117" customWidth="1"/>
    <col min="13826" max="13826" width="19.81640625" style="117" customWidth="1"/>
    <col min="13827" max="13827" width="20.1796875" style="117" customWidth="1"/>
    <col min="13828" max="13828" width="17" style="117" customWidth="1"/>
    <col min="13829" max="13829" width="17.453125" style="117" customWidth="1"/>
    <col min="13830" max="13830" width="17.7265625" style="117" customWidth="1"/>
    <col min="13831" max="13831" width="11.453125" style="117"/>
    <col min="13832" max="13832" width="2.7265625" style="117" customWidth="1"/>
    <col min="13833" max="13833" width="15.54296875" style="117" customWidth="1"/>
    <col min="13834" max="13834" width="22.54296875" style="117" customWidth="1"/>
    <col min="13835" max="13835" width="19.7265625" style="117" customWidth="1"/>
    <col min="13836" max="13836" width="10.26953125" style="117" bestFit="1" customWidth="1"/>
    <col min="13837" max="13837" width="12.7265625" style="117" bestFit="1" customWidth="1"/>
    <col min="13838" max="13838" width="12.453125" style="117" bestFit="1" customWidth="1"/>
    <col min="13839" max="13839" width="11.453125" style="117"/>
    <col min="13840" max="13840" width="12.1796875" style="117" bestFit="1" customWidth="1"/>
    <col min="13841" max="13841" width="11.453125" style="117"/>
    <col min="13842" max="13842" width="12.1796875" style="117" bestFit="1" customWidth="1"/>
    <col min="13843" max="13846" width="11.453125" style="117"/>
    <col min="13847" max="13847" width="11.1796875" style="117" customWidth="1"/>
    <col min="13848" max="14080" width="11.453125" style="117"/>
    <col min="14081" max="14081" width="22.26953125" style="117" customWidth="1"/>
    <col min="14082" max="14082" width="19.81640625" style="117" customWidth="1"/>
    <col min="14083" max="14083" width="20.1796875" style="117" customWidth="1"/>
    <col min="14084" max="14084" width="17" style="117" customWidth="1"/>
    <col min="14085" max="14085" width="17.453125" style="117" customWidth="1"/>
    <col min="14086" max="14086" width="17.7265625" style="117" customWidth="1"/>
    <col min="14087" max="14087" width="11.453125" style="117"/>
    <col min="14088" max="14088" width="2.7265625" style="117" customWidth="1"/>
    <col min="14089" max="14089" width="15.54296875" style="117" customWidth="1"/>
    <col min="14090" max="14090" width="22.54296875" style="117" customWidth="1"/>
    <col min="14091" max="14091" width="19.7265625" style="117" customWidth="1"/>
    <col min="14092" max="14092" width="10.26953125" style="117" bestFit="1" customWidth="1"/>
    <col min="14093" max="14093" width="12.7265625" style="117" bestFit="1" customWidth="1"/>
    <col min="14094" max="14094" width="12.453125" style="117" bestFit="1" customWidth="1"/>
    <col min="14095" max="14095" width="11.453125" style="117"/>
    <col min="14096" max="14096" width="12.1796875" style="117" bestFit="1" customWidth="1"/>
    <col min="14097" max="14097" width="11.453125" style="117"/>
    <col min="14098" max="14098" width="12.1796875" style="117" bestFit="1" customWidth="1"/>
    <col min="14099" max="14102" width="11.453125" style="117"/>
    <col min="14103" max="14103" width="11.1796875" style="117" customWidth="1"/>
    <col min="14104" max="14336" width="11.453125" style="117"/>
    <col min="14337" max="14337" width="22.26953125" style="117" customWidth="1"/>
    <col min="14338" max="14338" width="19.81640625" style="117" customWidth="1"/>
    <col min="14339" max="14339" width="20.1796875" style="117" customWidth="1"/>
    <col min="14340" max="14340" width="17" style="117" customWidth="1"/>
    <col min="14341" max="14341" width="17.453125" style="117" customWidth="1"/>
    <col min="14342" max="14342" width="17.7265625" style="117" customWidth="1"/>
    <col min="14343" max="14343" width="11.453125" style="117"/>
    <col min="14344" max="14344" width="2.7265625" style="117" customWidth="1"/>
    <col min="14345" max="14345" width="15.54296875" style="117" customWidth="1"/>
    <col min="14346" max="14346" width="22.54296875" style="117" customWidth="1"/>
    <col min="14347" max="14347" width="19.7265625" style="117" customWidth="1"/>
    <col min="14348" max="14348" width="10.26953125" style="117" bestFit="1" customWidth="1"/>
    <col min="14349" max="14349" width="12.7265625" style="117" bestFit="1" customWidth="1"/>
    <col min="14350" max="14350" width="12.453125" style="117" bestFit="1" customWidth="1"/>
    <col min="14351" max="14351" width="11.453125" style="117"/>
    <col min="14352" max="14352" width="12.1796875" style="117" bestFit="1" customWidth="1"/>
    <col min="14353" max="14353" width="11.453125" style="117"/>
    <col min="14354" max="14354" width="12.1796875" style="117" bestFit="1" customWidth="1"/>
    <col min="14355" max="14358" width="11.453125" style="117"/>
    <col min="14359" max="14359" width="11.1796875" style="117" customWidth="1"/>
    <col min="14360" max="14592" width="11.453125" style="117"/>
    <col min="14593" max="14593" width="22.26953125" style="117" customWidth="1"/>
    <col min="14594" max="14594" width="19.81640625" style="117" customWidth="1"/>
    <col min="14595" max="14595" width="20.1796875" style="117" customWidth="1"/>
    <col min="14596" max="14596" width="17" style="117" customWidth="1"/>
    <col min="14597" max="14597" width="17.453125" style="117" customWidth="1"/>
    <col min="14598" max="14598" width="17.7265625" style="117" customWidth="1"/>
    <col min="14599" max="14599" width="11.453125" style="117"/>
    <col min="14600" max="14600" width="2.7265625" style="117" customWidth="1"/>
    <col min="14601" max="14601" width="15.54296875" style="117" customWidth="1"/>
    <col min="14602" max="14602" width="22.54296875" style="117" customWidth="1"/>
    <col min="14603" max="14603" width="19.7265625" style="117" customWidth="1"/>
    <col min="14604" max="14604" width="10.26953125" style="117" bestFit="1" customWidth="1"/>
    <col min="14605" max="14605" width="12.7265625" style="117" bestFit="1" customWidth="1"/>
    <col min="14606" max="14606" width="12.453125" style="117" bestFit="1" customWidth="1"/>
    <col min="14607" max="14607" width="11.453125" style="117"/>
    <col min="14608" max="14608" width="12.1796875" style="117" bestFit="1" customWidth="1"/>
    <col min="14609" max="14609" width="11.453125" style="117"/>
    <col min="14610" max="14610" width="12.1796875" style="117" bestFit="1" customWidth="1"/>
    <col min="14611" max="14614" width="11.453125" style="117"/>
    <col min="14615" max="14615" width="11.1796875" style="117" customWidth="1"/>
    <col min="14616" max="14848" width="11.453125" style="117"/>
    <col min="14849" max="14849" width="22.26953125" style="117" customWidth="1"/>
    <col min="14850" max="14850" width="19.81640625" style="117" customWidth="1"/>
    <col min="14851" max="14851" width="20.1796875" style="117" customWidth="1"/>
    <col min="14852" max="14852" width="17" style="117" customWidth="1"/>
    <col min="14853" max="14853" width="17.453125" style="117" customWidth="1"/>
    <col min="14854" max="14854" width="17.7265625" style="117" customWidth="1"/>
    <col min="14855" max="14855" width="11.453125" style="117"/>
    <col min="14856" max="14856" width="2.7265625" style="117" customWidth="1"/>
    <col min="14857" max="14857" width="15.54296875" style="117" customWidth="1"/>
    <col min="14858" max="14858" width="22.54296875" style="117" customWidth="1"/>
    <col min="14859" max="14859" width="19.7265625" style="117" customWidth="1"/>
    <col min="14860" max="14860" width="10.26953125" style="117" bestFit="1" customWidth="1"/>
    <col min="14861" max="14861" width="12.7265625" style="117" bestFit="1" customWidth="1"/>
    <col min="14862" max="14862" width="12.453125" style="117" bestFit="1" customWidth="1"/>
    <col min="14863" max="14863" width="11.453125" style="117"/>
    <col min="14864" max="14864" width="12.1796875" style="117" bestFit="1" customWidth="1"/>
    <col min="14865" max="14865" width="11.453125" style="117"/>
    <col min="14866" max="14866" width="12.1796875" style="117" bestFit="1" customWidth="1"/>
    <col min="14867" max="14870" width="11.453125" style="117"/>
    <col min="14871" max="14871" width="11.1796875" style="117" customWidth="1"/>
    <col min="14872" max="15104" width="11.453125" style="117"/>
    <col min="15105" max="15105" width="22.26953125" style="117" customWidth="1"/>
    <col min="15106" max="15106" width="19.81640625" style="117" customWidth="1"/>
    <col min="15107" max="15107" width="20.1796875" style="117" customWidth="1"/>
    <col min="15108" max="15108" width="17" style="117" customWidth="1"/>
    <col min="15109" max="15109" width="17.453125" style="117" customWidth="1"/>
    <col min="15110" max="15110" width="17.7265625" style="117" customWidth="1"/>
    <col min="15111" max="15111" width="11.453125" style="117"/>
    <col min="15112" max="15112" width="2.7265625" style="117" customWidth="1"/>
    <col min="15113" max="15113" width="15.54296875" style="117" customWidth="1"/>
    <col min="15114" max="15114" width="22.54296875" style="117" customWidth="1"/>
    <col min="15115" max="15115" width="19.7265625" style="117" customWidth="1"/>
    <col min="15116" max="15116" width="10.26953125" style="117" bestFit="1" customWidth="1"/>
    <col min="15117" max="15117" width="12.7265625" style="117" bestFit="1" customWidth="1"/>
    <col min="15118" max="15118" width="12.453125" style="117" bestFit="1" customWidth="1"/>
    <col min="15119" max="15119" width="11.453125" style="117"/>
    <col min="15120" max="15120" width="12.1796875" style="117" bestFit="1" customWidth="1"/>
    <col min="15121" max="15121" width="11.453125" style="117"/>
    <col min="15122" max="15122" width="12.1796875" style="117" bestFit="1" customWidth="1"/>
    <col min="15123" max="15126" width="11.453125" style="117"/>
    <col min="15127" max="15127" width="11.1796875" style="117" customWidth="1"/>
    <col min="15128" max="15360" width="11.453125" style="117"/>
    <col min="15361" max="15361" width="22.26953125" style="117" customWidth="1"/>
    <col min="15362" max="15362" width="19.81640625" style="117" customWidth="1"/>
    <col min="15363" max="15363" width="20.1796875" style="117" customWidth="1"/>
    <col min="15364" max="15364" width="17" style="117" customWidth="1"/>
    <col min="15365" max="15365" width="17.453125" style="117" customWidth="1"/>
    <col min="15366" max="15366" width="17.7265625" style="117" customWidth="1"/>
    <col min="15367" max="15367" width="11.453125" style="117"/>
    <col min="15368" max="15368" width="2.7265625" style="117" customWidth="1"/>
    <col min="15369" max="15369" width="15.54296875" style="117" customWidth="1"/>
    <col min="15370" max="15370" width="22.54296875" style="117" customWidth="1"/>
    <col min="15371" max="15371" width="19.7265625" style="117" customWidth="1"/>
    <col min="15372" max="15372" width="10.26953125" style="117" bestFit="1" customWidth="1"/>
    <col min="15373" max="15373" width="12.7265625" style="117" bestFit="1" customWidth="1"/>
    <col min="15374" max="15374" width="12.453125" style="117" bestFit="1" customWidth="1"/>
    <col min="15375" max="15375" width="11.453125" style="117"/>
    <col min="15376" max="15376" width="12.1796875" style="117" bestFit="1" customWidth="1"/>
    <col min="15377" max="15377" width="11.453125" style="117"/>
    <col min="15378" max="15378" width="12.1796875" style="117" bestFit="1" customWidth="1"/>
    <col min="15379" max="15382" width="11.453125" style="117"/>
    <col min="15383" max="15383" width="11.1796875" style="117" customWidth="1"/>
    <col min="15384" max="15616" width="11.453125" style="117"/>
    <col min="15617" max="15617" width="22.26953125" style="117" customWidth="1"/>
    <col min="15618" max="15618" width="19.81640625" style="117" customWidth="1"/>
    <col min="15619" max="15619" width="20.1796875" style="117" customWidth="1"/>
    <col min="15620" max="15620" width="17" style="117" customWidth="1"/>
    <col min="15621" max="15621" width="17.453125" style="117" customWidth="1"/>
    <col min="15622" max="15622" width="17.7265625" style="117" customWidth="1"/>
    <col min="15623" max="15623" width="11.453125" style="117"/>
    <col min="15624" max="15624" width="2.7265625" style="117" customWidth="1"/>
    <col min="15625" max="15625" width="15.54296875" style="117" customWidth="1"/>
    <col min="15626" max="15626" width="22.54296875" style="117" customWidth="1"/>
    <col min="15627" max="15627" width="19.7265625" style="117" customWidth="1"/>
    <col min="15628" max="15628" width="10.26953125" style="117" bestFit="1" customWidth="1"/>
    <col min="15629" max="15629" width="12.7265625" style="117" bestFit="1" customWidth="1"/>
    <col min="15630" max="15630" width="12.453125" style="117" bestFit="1" customWidth="1"/>
    <col min="15631" max="15631" width="11.453125" style="117"/>
    <col min="15632" max="15632" width="12.1796875" style="117" bestFit="1" customWidth="1"/>
    <col min="15633" max="15633" width="11.453125" style="117"/>
    <col min="15634" max="15634" width="12.1796875" style="117" bestFit="1" customWidth="1"/>
    <col min="15635" max="15638" width="11.453125" style="117"/>
    <col min="15639" max="15639" width="11.1796875" style="117" customWidth="1"/>
    <col min="15640" max="15872" width="11.453125" style="117"/>
    <col min="15873" max="15873" width="22.26953125" style="117" customWidth="1"/>
    <col min="15874" max="15874" width="19.81640625" style="117" customWidth="1"/>
    <col min="15875" max="15875" width="20.1796875" style="117" customWidth="1"/>
    <col min="15876" max="15876" width="17" style="117" customWidth="1"/>
    <col min="15877" max="15877" width="17.453125" style="117" customWidth="1"/>
    <col min="15878" max="15878" width="17.7265625" style="117" customWidth="1"/>
    <col min="15879" max="15879" width="11.453125" style="117"/>
    <col min="15880" max="15880" width="2.7265625" style="117" customWidth="1"/>
    <col min="15881" max="15881" width="15.54296875" style="117" customWidth="1"/>
    <col min="15882" max="15882" width="22.54296875" style="117" customWidth="1"/>
    <col min="15883" max="15883" width="19.7265625" style="117" customWidth="1"/>
    <col min="15884" max="15884" width="10.26953125" style="117" bestFit="1" customWidth="1"/>
    <col min="15885" max="15885" width="12.7265625" style="117" bestFit="1" customWidth="1"/>
    <col min="15886" max="15886" width="12.453125" style="117" bestFit="1" customWidth="1"/>
    <col min="15887" max="15887" width="11.453125" style="117"/>
    <col min="15888" max="15888" width="12.1796875" style="117" bestFit="1" customWidth="1"/>
    <col min="15889" max="15889" width="11.453125" style="117"/>
    <col min="15890" max="15890" width="12.1796875" style="117" bestFit="1" customWidth="1"/>
    <col min="15891" max="15894" width="11.453125" style="117"/>
    <col min="15895" max="15895" width="11.1796875" style="117" customWidth="1"/>
    <col min="15896" max="16128" width="11.453125" style="117"/>
    <col min="16129" max="16129" width="22.26953125" style="117" customWidth="1"/>
    <col min="16130" max="16130" width="19.81640625" style="117" customWidth="1"/>
    <col min="16131" max="16131" width="20.1796875" style="117" customWidth="1"/>
    <col min="16132" max="16132" width="17" style="117" customWidth="1"/>
    <col min="16133" max="16133" width="17.453125" style="117" customWidth="1"/>
    <col min="16134" max="16134" width="17.7265625" style="117" customWidth="1"/>
    <col min="16135" max="16135" width="11.453125" style="117"/>
    <col min="16136" max="16136" width="2.7265625" style="117" customWidth="1"/>
    <col min="16137" max="16137" width="15.54296875" style="117" customWidth="1"/>
    <col min="16138" max="16138" width="22.54296875" style="117" customWidth="1"/>
    <col min="16139" max="16139" width="19.7265625" style="117" customWidth="1"/>
    <col min="16140" max="16140" width="10.26953125" style="117" bestFit="1" customWidth="1"/>
    <col min="16141" max="16141" width="12.7265625" style="117" bestFit="1" customWidth="1"/>
    <col min="16142" max="16142" width="12.453125" style="117" bestFit="1" customWidth="1"/>
    <col min="16143" max="16143" width="11.453125" style="117"/>
    <col min="16144" max="16144" width="12.1796875" style="117" bestFit="1" customWidth="1"/>
    <col min="16145" max="16145" width="11.453125" style="117"/>
    <col min="16146" max="16146" width="12.1796875" style="117" bestFit="1" customWidth="1"/>
    <col min="16147" max="16150" width="11.453125" style="117"/>
    <col min="16151" max="16151" width="11.1796875" style="117" customWidth="1"/>
    <col min="16152" max="16384" width="11.453125" style="117"/>
  </cols>
  <sheetData>
    <row r="1" spans="1:256" ht="7.5" customHeight="1" thickBot="1"/>
    <row r="2" spans="1:256" ht="26.25" customHeight="1" thickBot="1">
      <c r="A2" s="659" t="s">
        <v>133</v>
      </c>
      <c r="B2" s="660"/>
      <c r="C2" s="660"/>
      <c r="D2" s="660"/>
      <c r="E2" s="660"/>
      <c r="F2" s="661"/>
      <c r="G2" s="282"/>
      <c r="H2" s="283"/>
      <c r="I2" s="284"/>
      <c r="J2" s="285"/>
      <c r="K2" s="286"/>
      <c r="L2" s="286"/>
      <c r="M2" s="287"/>
      <c r="N2" s="288"/>
      <c r="O2" s="288"/>
      <c r="P2" s="289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3" spans="1:256" ht="30" customHeight="1">
      <c r="A3" s="662" t="s">
        <v>134</v>
      </c>
      <c r="B3" s="662"/>
      <c r="C3" s="662"/>
      <c r="D3" s="662"/>
      <c r="E3" s="662"/>
      <c r="F3" s="662"/>
      <c r="I3" s="282"/>
      <c r="J3" s="285"/>
      <c r="K3" s="286"/>
      <c r="L3" s="286"/>
      <c r="M3" s="287"/>
      <c r="O3" s="290"/>
      <c r="P3" s="291"/>
      <c r="Q3" s="290"/>
      <c r="R3" s="290"/>
      <c r="S3" s="290"/>
      <c r="T3" s="290"/>
      <c r="U3" s="290"/>
      <c r="V3" s="290"/>
    </row>
    <row r="4" spans="1:256">
      <c r="A4" s="292"/>
      <c r="B4" s="293"/>
      <c r="C4" s="293"/>
      <c r="D4" s="293"/>
      <c r="E4" s="293"/>
      <c r="F4" s="293"/>
      <c r="G4" s="294"/>
      <c r="H4" s="295"/>
      <c r="I4" s="282"/>
      <c r="J4" s="296"/>
      <c r="K4" s="297"/>
      <c r="L4" s="298"/>
      <c r="O4" s="298"/>
      <c r="P4" s="298"/>
      <c r="S4" s="299"/>
      <c r="U4" s="299"/>
      <c r="V4" s="299"/>
      <c r="X4" s="299"/>
      <c r="Y4" s="300"/>
    </row>
    <row r="5" spans="1:256" ht="26">
      <c r="A5" s="301"/>
      <c r="B5" s="302"/>
      <c r="C5" s="130" t="s">
        <v>135</v>
      </c>
      <c r="D5" s="130" t="s">
        <v>136</v>
      </c>
      <c r="E5" s="130" t="s">
        <v>11</v>
      </c>
      <c r="F5" s="303"/>
      <c r="G5" s="296"/>
      <c r="H5" s="296"/>
      <c r="I5" s="282"/>
      <c r="J5" s="296"/>
      <c r="K5" s="296"/>
      <c r="L5" s="304"/>
      <c r="M5" s="304"/>
      <c r="N5" s="305"/>
      <c r="O5" s="305"/>
      <c r="P5" s="305"/>
      <c r="Q5" s="305"/>
      <c r="R5" s="305"/>
      <c r="S5" s="306"/>
      <c r="T5" s="15"/>
      <c r="U5" s="306"/>
      <c r="V5" s="306"/>
      <c r="W5" s="15"/>
      <c r="X5" s="306"/>
      <c r="Y5" s="307"/>
      <c r="Z5" s="15"/>
      <c r="AA5" s="15"/>
      <c r="AB5" s="15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>
      <c r="A6" s="1"/>
      <c r="B6" s="308" t="s">
        <v>81</v>
      </c>
      <c r="C6" s="513">
        <f>B64</f>
        <v>497</v>
      </c>
      <c r="D6" s="514">
        <f>E6-C6</f>
        <v>2634</v>
      </c>
      <c r="E6" s="515">
        <f>D64</f>
        <v>3131</v>
      </c>
      <c r="F6" s="304"/>
      <c r="G6" s="296"/>
      <c r="H6" s="296"/>
      <c r="I6" s="296"/>
      <c r="J6" s="296"/>
      <c r="K6" s="296"/>
      <c r="L6" s="296"/>
      <c r="M6" s="305"/>
      <c r="N6" s="305"/>
      <c r="O6" s="305"/>
      <c r="P6" s="305"/>
      <c r="Q6" s="305"/>
      <c r="R6" s="305"/>
      <c r="S6" s="306"/>
      <c r="T6" s="15"/>
      <c r="U6" s="306"/>
      <c r="V6" s="306"/>
      <c r="W6" s="15"/>
      <c r="X6" s="306"/>
      <c r="Y6" s="15"/>
      <c r="Z6" s="15"/>
      <c r="AA6" s="15"/>
      <c r="AB6" s="1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>
      <c r="A7" s="98"/>
      <c r="B7" s="308" t="s">
        <v>82</v>
      </c>
      <c r="C7" s="513">
        <f>E64</f>
        <v>526</v>
      </c>
      <c r="D7" s="514">
        <f>E7-C7</f>
        <v>2606</v>
      </c>
      <c r="E7" s="515">
        <f>G64</f>
        <v>3132</v>
      </c>
      <c r="F7" s="304"/>
      <c r="G7" s="304"/>
      <c r="H7" s="296"/>
      <c r="I7" s="296"/>
      <c r="J7" s="296"/>
      <c r="K7" s="296"/>
      <c r="L7" s="296"/>
      <c r="M7" s="305"/>
      <c r="N7" s="305"/>
      <c r="O7" s="305"/>
      <c r="P7" s="305"/>
      <c r="Q7" s="305"/>
      <c r="R7" s="305"/>
      <c r="S7" s="306"/>
      <c r="T7" s="15"/>
      <c r="U7" s="306"/>
      <c r="V7" s="306"/>
      <c r="W7" s="15"/>
      <c r="X7" s="306"/>
      <c r="Y7" s="15"/>
      <c r="Z7" s="15"/>
      <c r="AA7" s="15"/>
      <c r="AB7" s="1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>
      <c r="A8" s="1"/>
      <c r="B8" s="309" t="s">
        <v>11</v>
      </c>
      <c r="C8" s="516">
        <f>SUM(C6:C7)</f>
        <v>1023</v>
      </c>
      <c r="D8" s="516">
        <f>SUM(D6:D7)</f>
        <v>5240</v>
      </c>
      <c r="E8" s="516">
        <f>SUM(E6:E7)</f>
        <v>6263</v>
      </c>
      <c r="F8" s="304"/>
      <c r="G8" s="296"/>
      <c r="H8" s="296"/>
      <c r="I8" s="296"/>
      <c r="J8" s="296"/>
      <c r="K8" s="296"/>
      <c r="L8" s="296"/>
      <c r="M8" s="304"/>
      <c r="N8" s="305"/>
      <c r="O8" s="305"/>
      <c r="P8" s="305"/>
      <c r="Q8" s="305"/>
      <c r="R8" s="305"/>
      <c r="S8" s="306"/>
      <c r="T8" s="15"/>
      <c r="U8" s="306"/>
      <c r="V8" s="306"/>
      <c r="W8" s="15"/>
      <c r="X8" s="306"/>
      <c r="Y8" s="15"/>
      <c r="Z8" s="15"/>
      <c r="AA8" s="15"/>
      <c r="AB8" s="15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"/>
      <c r="B9" s="310"/>
      <c r="C9" s="311"/>
      <c r="D9" s="109"/>
      <c r="E9" s="109"/>
      <c r="F9" s="1"/>
      <c r="G9" s="109"/>
      <c r="H9" s="112"/>
      <c r="I9" s="112"/>
      <c r="J9" s="112"/>
      <c r="K9" s="1"/>
      <c r="L9" s="44"/>
      <c r="M9" s="1"/>
      <c r="N9" s="1"/>
      <c r="O9" s="141"/>
      <c r="P9" s="312"/>
      <c r="Q9" s="312"/>
      <c r="R9" s="312"/>
      <c r="S9" s="313"/>
      <c r="T9" s="1"/>
      <c r="U9" s="313"/>
      <c r="V9" s="313"/>
      <c r="W9" s="1"/>
      <c r="X9" s="31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idden="1">
      <c r="A10" s="77" t="s">
        <v>137</v>
      </c>
      <c r="B10" s="21"/>
      <c r="C10" s="109"/>
      <c r="D10" s="112"/>
      <c r="E10" s="44"/>
      <c r="F10" s="11"/>
      <c r="G10" s="44"/>
      <c r="H10" s="120"/>
      <c r="I10" s="44"/>
      <c r="J10" s="1"/>
      <c r="K10" s="1"/>
      <c r="L10" s="11"/>
      <c r="M10" s="1"/>
      <c r="N10" s="1"/>
      <c r="O10" s="112"/>
      <c r="P10" s="314"/>
      <c r="Q10" s="314"/>
      <c r="R10" s="314"/>
      <c r="S10" s="112"/>
      <c r="T10" s="112"/>
      <c r="U10" s="112"/>
      <c r="V10" s="11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idden="1">
      <c r="A11" s="1" t="s">
        <v>138</v>
      </c>
      <c r="B11" s="21"/>
      <c r="C11" s="109"/>
      <c r="D11" s="112"/>
      <c r="E11" s="44"/>
      <c r="F11" s="11"/>
      <c r="G11" s="44"/>
      <c r="H11" s="120"/>
      <c r="I11" s="44"/>
      <c r="J11" s="315"/>
      <c r="K11" s="1"/>
      <c r="L11" s="1"/>
      <c r="M11" s="1"/>
      <c r="N11" s="1"/>
      <c r="O11" s="112"/>
      <c r="P11" s="316"/>
      <c r="Q11" s="316"/>
      <c r="R11" s="316"/>
      <c r="S11" s="112"/>
      <c r="T11" s="112"/>
      <c r="U11" s="112"/>
      <c r="V11" s="11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0" hidden="1">
      <c r="A12" s="130" t="s">
        <v>139</v>
      </c>
      <c r="B12" s="130" t="s">
        <v>140</v>
      </c>
      <c r="C12" s="130" t="s">
        <v>141</v>
      </c>
      <c r="D12" s="130" t="s">
        <v>142</v>
      </c>
      <c r="E12" s="130" t="s">
        <v>143</v>
      </c>
      <c r="F12" s="130" t="s">
        <v>144</v>
      </c>
      <c r="G12" s="130" t="s">
        <v>145</v>
      </c>
      <c r="H12" s="130" t="s">
        <v>146</v>
      </c>
      <c r="I12" s="44"/>
      <c r="J12" s="317" t="s">
        <v>147</v>
      </c>
      <c r="K12" s="318" t="s">
        <v>145</v>
      </c>
      <c r="L12" s="318" t="s">
        <v>146</v>
      </c>
      <c r="M12" s="1"/>
      <c r="N12" s="1"/>
      <c r="O12" s="112"/>
      <c r="P12" s="112"/>
      <c r="Q12" s="112"/>
      <c r="R12" s="112"/>
      <c r="S12" s="112"/>
      <c r="T12" s="112"/>
      <c r="U12" s="112"/>
      <c r="V12" s="11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idden="1">
      <c r="A13" s="37">
        <f>LN((C6/E6)/(C7/E7))</f>
        <v>-5.6391850856793234E-2</v>
      </c>
      <c r="B13" s="37">
        <f>SQRT((D6/(C6*E6)+(D7/(C7*E7))))</f>
        <v>5.7223609983882123E-2</v>
      </c>
      <c r="C13" s="319">
        <f>-NORMSINV(2.5/100)</f>
        <v>1.9599639845400538</v>
      </c>
      <c r="D13" s="319">
        <f>A13-(C13*B13)</f>
        <v>-0.16854806549056883</v>
      </c>
      <c r="E13" s="320">
        <f>A13+(C13*B13)</f>
        <v>5.5764363776982372E-2</v>
      </c>
      <c r="F13" s="321">
        <f>(C6/E6)/(C7/E7)</f>
        <v>0.94516869815277849</v>
      </c>
      <c r="G13" s="322">
        <f>EXP(D13)</f>
        <v>0.8448906523592663</v>
      </c>
      <c r="H13" s="323">
        <f>EXP(E13)</f>
        <v>1.0573485047718914</v>
      </c>
      <c r="I13" s="44"/>
      <c r="J13" s="64">
        <f>1-F13</f>
        <v>5.4831301847221514E-2</v>
      </c>
      <c r="K13" s="64">
        <f>1-G13</f>
        <v>0.1551093476407337</v>
      </c>
      <c r="L13" s="64">
        <f>1-H13</f>
        <v>-5.7348504771891351E-2</v>
      </c>
      <c r="M13" s="324"/>
      <c r="N13" s="1"/>
      <c r="O13" s="112"/>
      <c r="P13" s="112"/>
      <c r="Q13" s="112"/>
      <c r="R13" s="112"/>
      <c r="S13" s="112"/>
      <c r="T13" s="112"/>
      <c r="U13" s="112"/>
      <c r="V13" s="11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idden="1">
      <c r="A14" s="1"/>
      <c r="B14" s="21"/>
      <c r="C14" s="325"/>
      <c r="D14" s="326"/>
      <c r="E14" s="327"/>
      <c r="F14" s="328"/>
      <c r="G14" s="327"/>
      <c r="H14" s="329"/>
      <c r="I14" s="44"/>
      <c r="J14" s="11"/>
      <c r="K14" s="11"/>
      <c r="L14" s="11"/>
      <c r="M14" s="1"/>
      <c r="N14" s="1"/>
      <c r="O14" s="112"/>
      <c r="P14" s="112"/>
      <c r="Q14" s="112"/>
      <c r="R14" s="112"/>
      <c r="S14" s="112"/>
      <c r="T14" s="112"/>
      <c r="U14" s="112"/>
      <c r="V14" s="11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idden="1">
      <c r="A15" s="1"/>
      <c r="B15" s="21"/>
      <c r="C15" s="330"/>
      <c r="D15" s="331"/>
      <c r="E15" s="332"/>
      <c r="F15" s="333"/>
      <c r="G15" s="334"/>
      <c r="H15" s="335"/>
      <c r="I15" s="336"/>
      <c r="J15" s="1"/>
      <c r="K15" s="1"/>
      <c r="L15" s="337"/>
      <c r="M15" s="33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idden="1">
      <c r="A16" s="338" t="s">
        <v>148</v>
      </c>
      <c r="B16" s="21"/>
      <c r="C16" s="339"/>
      <c r="D16" s="77"/>
      <c r="E16" s="336"/>
      <c r="F16" s="336"/>
      <c r="G16" s="336"/>
      <c r="H16" s="340"/>
      <c r="I16" s="336"/>
      <c r="J16" s="1"/>
      <c r="K16" s="341"/>
      <c r="L16" s="112"/>
      <c r="M16" s="342"/>
      <c r="N16" s="342"/>
      <c r="O16" s="112"/>
      <c r="P16" s="112"/>
      <c r="Q16" s="343"/>
      <c r="R16" s="342"/>
      <c r="S16" s="344"/>
      <c r="T16" s="344"/>
      <c r="U16" s="34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idden="1">
      <c r="A17" s="345" t="s">
        <v>149</v>
      </c>
      <c r="B17" s="346" t="s">
        <v>150</v>
      </c>
      <c r="C17" s="347"/>
      <c r="D17" s="345"/>
      <c r="E17" s="348"/>
      <c r="F17" s="348"/>
      <c r="G17" s="348"/>
      <c r="H17" s="349"/>
      <c r="I17" s="348"/>
      <c r="J17" s="350"/>
      <c r="K17" s="351"/>
      <c r="L17" s="352"/>
      <c r="M17" s="342"/>
      <c r="N17" s="342"/>
      <c r="O17" s="112"/>
      <c r="P17" s="112"/>
      <c r="Q17" s="343"/>
      <c r="R17" s="342"/>
      <c r="S17" s="344"/>
      <c r="T17" s="344"/>
      <c r="U17" s="344"/>
      <c r="V17" s="1"/>
      <c r="W17" s="1" t="s">
        <v>151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idden="1">
      <c r="A18" s="353" t="s">
        <v>152</v>
      </c>
      <c r="B18" s="350" t="s">
        <v>153</v>
      </c>
      <c r="C18" s="350"/>
      <c r="D18" s="350" t="s">
        <v>154</v>
      </c>
      <c r="E18" s="350"/>
      <c r="F18" s="350" t="s">
        <v>155</v>
      </c>
      <c r="G18" s="350"/>
      <c r="H18" s="350" t="s">
        <v>156</v>
      </c>
      <c r="I18" s="354"/>
      <c r="J18" s="354"/>
      <c r="K18" s="354"/>
      <c r="L18" s="352"/>
      <c r="M18" s="342"/>
      <c r="N18" s="1"/>
      <c r="O18" s="1"/>
      <c r="P18" s="1"/>
      <c r="Q18" s="1"/>
      <c r="R18" s="1"/>
      <c r="S18" s="1"/>
      <c r="T18" s="1"/>
      <c r="U18" s="1"/>
      <c r="V18" s="1"/>
      <c r="W18" s="1" t="s">
        <v>157</v>
      </c>
      <c r="X18" s="1"/>
      <c r="Y18" s="355"/>
      <c r="Z18" s="355"/>
      <c r="AA18" s="355"/>
      <c r="AB18" s="355"/>
      <c r="AC18" s="355"/>
      <c r="AD18" s="35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7.75" hidden="1" customHeight="1">
      <c r="A19" s="356" t="s">
        <v>158</v>
      </c>
      <c r="B19" s="356" t="s">
        <v>159</v>
      </c>
      <c r="C19" s="356" t="s">
        <v>160</v>
      </c>
      <c r="D19" s="356" t="s">
        <v>153</v>
      </c>
      <c r="E19" s="356" t="s">
        <v>154</v>
      </c>
      <c r="F19" s="356" t="s">
        <v>155</v>
      </c>
      <c r="G19" s="356" t="s">
        <v>156</v>
      </c>
      <c r="H19" s="357" t="s">
        <v>141</v>
      </c>
      <c r="I19" s="357" t="s">
        <v>161</v>
      </c>
      <c r="J19" s="357" t="s">
        <v>145</v>
      </c>
      <c r="K19" s="358" t="s">
        <v>146</v>
      </c>
      <c r="L19" s="663" t="s">
        <v>162</v>
      </c>
      <c r="M19" s="342"/>
      <c r="N19" s="359" t="s">
        <v>163</v>
      </c>
      <c r="O19" s="360"/>
      <c r="P19" s="360"/>
      <c r="Q19" s="360"/>
      <c r="R19" s="360"/>
      <c r="S19" s="360"/>
      <c r="T19" s="360"/>
      <c r="U19" s="361"/>
      <c r="V19" s="1"/>
      <c r="W19" s="362" t="s">
        <v>164</v>
      </c>
      <c r="X19" s="363"/>
      <c r="Y19" s="364"/>
      <c r="Z19" s="365"/>
      <c r="AA19" s="365"/>
      <c r="AB19" s="365"/>
      <c r="AC19" s="365"/>
      <c r="AD19" s="366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 hidden="1" customHeight="1">
      <c r="A20" s="367">
        <f>C6</f>
        <v>497</v>
      </c>
      <c r="B20" s="367">
        <f>E6</f>
        <v>3131</v>
      </c>
      <c r="C20" s="368">
        <f>A20/B20</f>
        <v>0.15873522836154583</v>
      </c>
      <c r="D20" s="369">
        <f>2*A20+H20^2</f>
        <v>997.84145882069413</v>
      </c>
      <c r="E20" s="369">
        <f>H20*SQRT((H20^2)+(4*A20*(1-C20)))</f>
        <v>80.245526686788139</v>
      </c>
      <c r="F20" s="367">
        <f>2*(B20+H20^2)</f>
        <v>6269.6829176413885</v>
      </c>
      <c r="G20" s="370" t="s">
        <v>165</v>
      </c>
      <c r="H20" s="371">
        <f>-NORMSINV(2.5/100)</f>
        <v>1.9599639845400538</v>
      </c>
      <c r="I20" s="372">
        <f>C20</f>
        <v>0.15873522836154583</v>
      </c>
      <c r="J20" s="373">
        <f>(D20-E20)/F20</f>
        <v>0.14635443995931763</v>
      </c>
      <c r="K20" s="374">
        <f>(D20+E20)/F20</f>
        <v>0.17195239371260759</v>
      </c>
      <c r="L20" s="664"/>
      <c r="M20" s="342"/>
      <c r="N20" s="375">
        <f>B20</f>
        <v>3131</v>
      </c>
      <c r="O20" s="1" t="s">
        <v>166</v>
      </c>
      <c r="P20" s="112"/>
      <c r="Q20" s="343"/>
      <c r="R20" s="342"/>
      <c r="S20" s="344"/>
      <c r="T20" s="344"/>
      <c r="U20" s="376"/>
      <c r="V20" s="1"/>
      <c r="W20" s="377">
        <f>ABS(C20-C21)</f>
        <v>9.2085775132945413E-3</v>
      </c>
      <c r="X20" s="1" t="s">
        <v>167</v>
      </c>
      <c r="Y20" s="112"/>
      <c r="Z20" s="1"/>
      <c r="AA20" s="1"/>
      <c r="AB20" s="1"/>
      <c r="AC20" s="1"/>
      <c r="AD20" s="37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idden="1">
      <c r="A21" s="367">
        <f>C7</f>
        <v>526</v>
      </c>
      <c r="B21" s="367">
        <f>E7</f>
        <v>3132</v>
      </c>
      <c r="C21" s="368">
        <f>A21/B21</f>
        <v>0.16794380587484037</v>
      </c>
      <c r="D21" s="369">
        <f>2*A21+H21^2</f>
        <v>1055.841458820694</v>
      </c>
      <c r="E21" s="369">
        <f>H21*SQRT((H21^2)+(4*A21*(1-C21)))</f>
        <v>82.096237534920633</v>
      </c>
      <c r="F21" s="367">
        <f>2*(B21+H21^2)</f>
        <v>6271.6829176413885</v>
      </c>
      <c r="G21" s="370" t="s">
        <v>165</v>
      </c>
      <c r="H21" s="371">
        <f>-NORMSINV(2.5/100)</f>
        <v>1.9599639845400538</v>
      </c>
      <c r="I21" s="372">
        <f>C21</f>
        <v>0.16794380587484037</v>
      </c>
      <c r="J21" s="373">
        <f>(D21-E21)/F21</f>
        <v>0.15526059497471736</v>
      </c>
      <c r="K21" s="374">
        <f>(D21+E21)/F21</f>
        <v>0.18144056568209965</v>
      </c>
      <c r="L21" s="664"/>
      <c r="M21" s="1"/>
      <c r="N21" s="379">
        <f>I25</f>
        <v>9.2085775132945413E-3</v>
      </c>
      <c r="O21" s="1" t="s">
        <v>168</v>
      </c>
      <c r="P21" s="1"/>
      <c r="Q21" s="1"/>
      <c r="R21" s="1"/>
      <c r="S21" s="1"/>
      <c r="T21" s="1"/>
      <c r="U21" s="378"/>
      <c r="V21" s="1"/>
      <c r="W21" s="380">
        <f>SQRT((C22*(1-C22)/B20)+(C22*(1-C22)/B21))</f>
        <v>9.342429817130923E-3</v>
      </c>
      <c r="X21" s="153" t="s">
        <v>169</v>
      </c>
      <c r="Y21" s="1"/>
      <c r="Z21" s="1"/>
      <c r="AA21" s="1"/>
      <c r="AB21" s="1"/>
      <c r="AC21" s="1"/>
      <c r="AD21" s="37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idden="1">
      <c r="A22" s="381">
        <f>A20+A21</f>
        <v>1023</v>
      </c>
      <c r="B22" s="381">
        <f>B20+B21</f>
        <v>6263</v>
      </c>
      <c r="C22" s="382">
        <f>A22/B22</f>
        <v>0.16334025227526744</v>
      </c>
      <c r="D22" s="383"/>
      <c r="E22" s="383"/>
      <c r="F22" s="384"/>
      <c r="G22" s="352"/>
      <c r="H22" s="385"/>
      <c r="I22" s="386"/>
      <c r="J22" s="386"/>
      <c r="K22" s="386"/>
      <c r="L22" s="664"/>
      <c r="M22" s="1"/>
      <c r="N22" s="387">
        <f>(A20+A21)/(B20+B21)</f>
        <v>0.16334025227526744</v>
      </c>
      <c r="O22" s="1" t="s">
        <v>170</v>
      </c>
      <c r="P22" s="112"/>
      <c r="Q22" s="343"/>
      <c r="R22" s="342"/>
      <c r="S22" s="344"/>
      <c r="T22" s="344"/>
      <c r="U22" s="378"/>
      <c r="V22" s="1"/>
      <c r="W22" s="388">
        <f>W20/W21</f>
        <v>0.98567264550481926</v>
      </c>
      <c r="X22" s="1" t="s">
        <v>171</v>
      </c>
      <c r="Y22" s="112"/>
      <c r="Z22" s="1"/>
      <c r="AA22" s="1"/>
      <c r="AB22" s="1"/>
      <c r="AC22" s="1"/>
      <c r="AD22" s="37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idden="1">
      <c r="A23" s="350"/>
      <c r="B23" s="346" t="s">
        <v>172</v>
      </c>
      <c r="C23" s="350"/>
      <c r="D23" s="350"/>
      <c r="E23" s="348"/>
      <c r="F23" s="348"/>
      <c r="G23" s="348"/>
      <c r="H23" s="349"/>
      <c r="I23" s="348"/>
      <c r="J23" s="350"/>
      <c r="K23" s="350"/>
      <c r="L23" s="664"/>
      <c r="M23" s="1"/>
      <c r="N23" s="389">
        <f>SQRT(N20*N21^2/(2*N22*(1-N22)))-H20</f>
        <v>-0.97437001974942938</v>
      </c>
      <c r="O23" s="1" t="s">
        <v>173</v>
      </c>
      <c r="P23" s="1"/>
      <c r="Q23" s="1"/>
      <c r="R23" s="1"/>
      <c r="S23" s="1"/>
      <c r="T23" s="1"/>
      <c r="U23" s="376"/>
      <c r="V23" s="1"/>
      <c r="W23" s="390">
        <f>NORMSDIST(-W22)</f>
        <v>0.16214688846579287</v>
      </c>
      <c r="X23" s="341" t="s">
        <v>174</v>
      </c>
      <c r="Y23" s="1"/>
      <c r="Z23" s="1"/>
      <c r="AA23" s="1"/>
      <c r="AB23" s="1"/>
      <c r="AC23" s="1"/>
      <c r="AD23" s="37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idden="1">
      <c r="A24" s="350"/>
      <c r="B24" s="346" t="s">
        <v>175</v>
      </c>
      <c r="C24" s="347"/>
      <c r="D24" s="345"/>
      <c r="E24" s="348"/>
      <c r="F24" s="348"/>
      <c r="G24" s="1"/>
      <c r="H24" s="1"/>
      <c r="I24" s="391"/>
      <c r="J24" s="391"/>
      <c r="K24" s="391"/>
      <c r="L24" s="664"/>
      <c r="M24" s="1"/>
      <c r="N24" s="392">
        <f>NORMSDIST(N23)</f>
        <v>0.16493642486389762</v>
      </c>
      <c r="O24" s="341" t="s">
        <v>176</v>
      </c>
      <c r="P24" s="393"/>
      <c r="Q24" s="1"/>
      <c r="R24" s="1"/>
      <c r="S24" s="1"/>
      <c r="T24" s="1"/>
      <c r="U24" s="378"/>
      <c r="V24" s="1"/>
      <c r="W24" s="394">
        <f>1-W23</f>
        <v>0.83785311153420716</v>
      </c>
      <c r="X24" s="395" t="s">
        <v>177</v>
      </c>
      <c r="Y24" s="393"/>
      <c r="Z24" s="1"/>
      <c r="AA24" s="1"/>
      <c r="AB24" s="1"/>
      <c r="AC24" s="1"/>
      <c r="AD24" s="37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hidden="1" thickBot="1">
      <c r="A25" s="338" t="s">
        <v>178</v>
      </c>
      <c r="B25" s="396"/>
      <c r="C25" s="1"/>
      <c r="D25" s="347"/>
      <c r="E25" s="397" t="s">
        <v>179</v>
      </c>
      <c r="F25" s="350"/>
      <c r="G25" s="347"/>
      <c r="H25" s="398" t="s">
        <v>180</v>
      </c>
      <c r="I25" s="399">
        <f>C21-C20</f>
        <v>9.2085775132945413E-3</v>
      </c>
      <c r="J25" s="400">
        <f>I25+SQRT((C21-J21)^2+(K20-C20)^2)</f>
        <v>2.75268006436723E-2</v>
      </c>
      <c r="K25" s="401">
        <f>I25-SQRT((C20-J20)^2+(K21-C21)^2)</f>
        <v>-9.1066196397693033E-3</v>
      </c>
      <c r="L25" s="664"/>
      <c r="M25" s="1"/>
      <c r="N25" s="402">
        <f>1-N24</f>
        <v>0.83506357513610241</v>
      </c>
      <c r="O25" s="403" t="s">
        <v>181</v>
      </c>
      <c r="P25" s="404"/>
      <c r="Q25" s="405"/>
      <c r="R25" s="404"/>
      <c r="S25" s="404"/>
      <c r="T25" s="404"/>
      <c r="U25" s="406"/>
      <c r="V25" s="1"/>
      <c r="W25" s="407"/>
      <c r="X25" s="404"/>
      <c r="Y25" s="404"/>
      <c r="Z25" s="404"/>
      <c r="AA25" s="404"/>
      <c r="AB25" s="404"/>
      <c r="AC25" s="404"/>
      <c r="AD25" s="40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hidden="1" thickBot="1">
      <c r="A26" s="1"/>
      <c r="B26" s="1"/>
      <c r="C26" s="408"/>
      <c r="D26" s="1"/>
      <c r="E26" s="312"/>
      <c r="F26" s="1"/>
      <c r="G26" s="1"/>
      <c r="H26" s="409" t="s">
        <v>182</v>
      </c>
      <c r="I26" s="410">
        <f>1/I25</f>
        <v>108.59440543952496</v>
      </c>
      <c r="J26" s="411">
        <f>1/J25</f>
        <v>36.328231999960884</v>
      </c>
      <c r="K26" s="412">
        <f>1/K25</f>
        <v>-109.81023031124784</v>
      </c>
      <c r="L26" s="66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idden="1">
      <c r="A27" s="1"/>
      <c r="B27" s="312"/>
      <c r="C27" s="408"/>
      <c r="D27" s="413"/>
      <c r="E27" s="312"/>
      <c r="F27" s="1"/>
      <c r="G27" s="1"/>
      <c r="H27" s="1"/>
      <c r="I27" s="414"/>
      <c r="J27" s="415"/>
      <c r="K27" s="4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idden="1">
      <c r="A28" s="315"/>
      <c r="B28" s="315"/>
      <c r="C28" s="312"/>
      <c r="D28" s="413"/>
      <c r="E28" s="312"/>
      <c r="F28" s="416"/>
      <c r="G28" s="93" t="s">
        <v>183</v>
      </c>
      <c r="H28" s="417" t="s">
        <v>184</v>
      </c>
      <c r="I28" s="418">
        <f>I26</f>
        <v>108.59440543952496</v>
      </c>
      <c r="J28" s="418">
        <f>J26</f>
        <v>36.328231999960884</v>
      </c>
      <c r="K28" s="418">
        <f>K26</f>
        <v>-109.81023031124784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idden="1">
      <c r="A29" s="44"/>
      <c r="B29" s="413"/>
      <c r="C29" s="413"/>
      <c r="D29" s="419"/>
      <c r="E29" s="312"/>
      <c r="F29" s="666" t="s">
        <v>185</v>
      </c>
      <c r="G29" s="666"/>
      <c r="H29" s="666"/>
      <c r="I29" s="420">
        <f>(1-C21)*I26</f>
        <v>90.35664769329567</v>
      </c>
      <c r="J29" s="420">
        <f>(1-C21)*J26</f>
        <v>30.227130457183289</v>
      </c>
      <c r="K29" s="420">
        <f>(1-C21)*K26</f>
        <v>-91.368282308784117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idden="1">
      <c r="A30" s="1"/>
      <c r="B30" s="312"/>
      <c r="C30" s="312"/>
      <c r="D30" s="312"/>
      <c r="E30" s="312"/>
      <c r="F30" s="667" t="s">
        <v>186</v>
      </c>
      <c r="G30" s="668"/>
      <c r="H30" s="669"/>
      <c r="I30" s="421">
        <f>I26*I25</f>
        <v>1</v>
      </c>
      <c r="J30" s="421">
        <f>J26*J25</f>
        <v>0.99999999999999989</v>
      </c>
      <c r="K30" s="421">
        <f>K26*K25</f>
        <v>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idden="1">
      <c r="A31" s="11"/>
      <c r="B31" s="422"/>
      <c r="C31" s="1"/>
      <c r="D31" s="11"/>
      <c r="E31" s="312"/>
      <c r="F31" s="654" t="s">
        <v>187</v>
      </c>
      <c r="G31" s="655"/>
      <c r="H31" s="656"/>
      <c r="I31" s="423">
        <f>(C21-I25)*I26</f>
        <v>17.237757746229288</v>
      </c>
      <c r="J31" s="423">
        <f>(C21-J25)*J26</f>
        <v>5.1011015427775943</v>
      </c>
      <c r="K31" s="423">
        <f>(C21-K25)*K26</f>
        <v>-19.441948002463718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idden="1">
      <c r="A32" s="11"/>
      <c r="B32" s="1"/>
      <c r="C32" s="1"/>
      <c r="D32" s="1"/>
      <c r="E32" s="312"/>
      <c r="F32" s="424"/>
      <c r="G32" s="424"/>
      <c r="H32" s="424"/>
      <c r="I32" s="425"/>
      <c r="J32" s="425"/>
      <c r="K32" s="425"/>
      <c r="L32" s="1"/>
      <c r="M32" s="426"/>
      <c r="N32" s="426"/>
      <c r="O32" s="426"/>
      <c r="P32" s="42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idden="1">
      <c r="A33" s="1"/>
      <c r="B33" s="1"/>
      <c r="C33" s="1"/>
      <c r="D33" s="1"/>
      <c r="E33" s="312"/>
      <c r="F33" s="416"/>
      <c r="G33" s="93" t="s">
        <v>188</v>
      </c>
      <c r="H33" s="417" t="s">
        <v>189</v>
      </c>
      <c r="I33" s="418">
        <f>ABS(I26)</f>
        <v>108.59440543952496</v>
      </c>
      <c r="J33" s="418">
        <f>ABS(K26)</f>
        <v>109.81023031124784</v>
      </c>
      <c r="K33" s="418">
        <f>ABS(J26)</f>
        <v>36.328231999960884</v>
      </c>
      <c r="L33" s="1"/>
      <c r="M33" s="426"/>
      <c r="N33" s="426"/>
      <c r="O33" s="428"/>
      <c r="P33" s="4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idden="1">
      <c r="A34" s="1"/>
      <c r="B34" s="1"/>
      <c r="C34" s="1"/>
      <c r="D34" s="1"/>
      <c r="E34" s="312"/>
      <c r="F34" s="666" t="s">
        <v>185</v>
      </c>
      <c r="G34" s="666"/>
      <c r="H34" s="666"/>
      <c r="I34" s="420">
        <f>ABS((1-(C21-I25))*I26)</f>
        <v>91.35664769329567</v>
      </c>
      <c r="J34" s="420">
        <f>ABS((1-(C21-K25))*K26)</f>
        <v>90.368282308784117</v>
      </c>
      <c r="K34" s="420">
        <f>ABS((1-(C21-J25))*J26)</f>
        <v>31.227130457183289</v>
      </c>
      <c r="L34" s="1"/>
      <c r="M34" s="426"/>
      <c r="N34" s="426"/>
      <c r="O34" s="426"/>
      <c r="P34" s="42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idden="1">
      <c r="A35" s="1"/>
      <c r="B35" s="1"/>
      <c r="C35" s="1"/>
      <c r="D35" s="1"/>
      <c r="E35" s="312"/>
      <c r="F35" s="651" t="s">
        <v>190</v>
      </c>
      <c r="G35" s="652"/>
      <c r="H35" s="653"/>
      <c r="I35" s="429">
        <f>I26*I25</f>
        <v>1</v>
      </c>
      <c r="J35" s="429">
        <f>K26*K25</f>
        <v>1</v>
      </c>
      <c r="K35" s="429">
        <f>J26*J25</f>
        <v>0.99999999999999989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idden="1">
      <c r="A36" s="338" t="s">
        <v>191</v>
      </c>
      <c r="B36" s="1"/>
      <c r="C36" s="1"/>
      <c r="D36" s="1"/>
      <c r="E36" s="312"/>
      <c r="F36" s="654" t="s">
        <v>192</v>
      </c>
      <c r="G36" s="655"/>
      <c r="H36" s="656"/>
      <c r="I36" s="423">
        <f>ABS(C21*I26)</f>
        <v>18.237757746229288</v>
      </c>
      <c r="J36" s="423">
        <f>ABS(C21*K26)</f>
        <v>18.441948002463718</v>
      </c>
      <c r="K36" s="423">
        <f>ABS(C21*J26)</f>
        <v>6.1011015427775943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idden="1">
      <c r="A37" s="1"/>
      <c r="B37" s="430" t="s">
        <v>193</v>
      </c>
      <c r="C37" s="431" t="s">
        <v>194</v>
      </c>
      <c r="D37" s="1"/>
      <c r="E37" s="312"/>
      <c r="F37" s="424"/>
      <c r="G37" s="44"/>
      <c r="H37" s="432"/>
      <c r="I37" s="433"/>
      <c r="J37" s="433"/>
      <c r="K37" s="4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idden="1">
      <c r="A38" s="434" t="s">
        <v>195</v>
      </c>
      <c r="B38" s="435" t="s">
        <v>196</v>
      </c>
      <c r="C38" s="436" t="s">
        <v>197</v>
      </c>
      <c r="D38" s="112" t="s">
        <v>11</v>
      </c>
      <c r="E38" s="3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idden="1">
      <c r="A39" s="437" t="s">
        <v>198</v>
      </c>
      <c r="B39" s="438">
        <f>E6*C8/E8</f>
        <v>511.41832987386238</v>
      </c>
      <c r="C39" s="438">
        <f>E6*D8/E8</f>
        <v>2619.5816701261379</v>
      </c>
      <c r="D39" s="438">
        <f>E6</f>
        <v>3131</v>
      </c>
      <c r="E39" s="1"/>
      <c r="F39" s="439"/>
      <c r="G39" s="440" t="s">
        <v>199</v>
      </c>
      <c r="H39" s="43">
        <f>CHIINV(0.05,J40)</f>
        <v>3.8414588206941236</v>
      </c>
      <c r="I39" s="1"/>
      <c r="J39" s="1"/>
      <c r="K39" s="1"/>
      <c r="L39" s="1"/>
      <c r="M39" s="1"/>
      <c r="N39" s="426"/>
      <c r="O39" s="426"/>
      <c r="P39" s="42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idden="1">
      <c r="A40" s="441" t="s">
        <v>200</v>
      </c>
      <c r="B40" s="438">
        <f>E7*C8/E8</f>
        <v>511.58167012613762</v>
      </c>
      <c r="C40" s="438">
        <f>E7*D8/E8</f>
        <v>2620.4183298738621</v>
      </c>
      <c r="D40" s="438">
        <f>E7</f>
        <v>3132</v>
      </c>
      <c r="E40" s="1"/>
      <c r="F40" s="442"/>
      <c r="G40" s="442"/>
      <c r="H40" s="443"/>
      <c r="I40" s="444" t="s">
        <v>201</v>
      </c>
      <c r="J40" s="445">
        <f>(COUNT(B39:C39)-1)*(COUNT(B39:B40)-1)</f>
        <v>1</v>
      </c>
      <c r="K40" s="1"/>
      <c r="L40" s="1"/>
      <c r="M40" s="1"/>
      <c r="N40" s="426"/>
      <c r="O40" s="426"/>
      <c r="P40" s="42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idden="1">
      <c r="A41" s="347" t="s">
        <v>202</v>
      </c>
      <c r="B41" s="438">
        <f>SUM(B39:B40)</f>
        <v>1023</v>
      </c>
      <c r="C41" s="438">
        <f>SUM(C39:C40)</f>
        <v>5240</v>
      </c>
      <c r="D41" s="446">
        <f>SUM(D39:D40)</f>
        <v>6263</v>
      </c>
      <c r="E41" s="1"/>
      <c r="F41" s="1"/>
      <c r="G41" s="152" t="s">
        <v>203</v>
      </c>
      <c r="H41" s="1" t="s">
        <v>204</v>
      </c>
      <c r="I41" s="1"/>
      <c r="J41" s="1"/>
      <c r="K41" s="1"/>
      <c r="L41" s="1"/>
      <c r="M41" s="1"/>
      <c r="N41" s="426"/>
      <c r="O41" s="428"/>
      <c r="P41" s="42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idden="1">
      <c r="A42" s="347"/>
      <c r="B42" s="447"/>
      <c r="C42" s="447"/>
      <c r="D42" s="448"/>
      <c r="E42" s="1"/>
      <c r="F42" s="1"/>
      <c r="G42" s="152" t="s">
        <v>205</v>
      </c>
      <c r="H42" s="1" t="s">
        <v>206</v>
      </c>
      <c r="I42" s="1"/>
      <c r="J42" s="1"/>
      <c r="K42" s="1"/>
      <c r="L42" s="1"/>
      <c r="M42" s="1"/>
      <c r="N42" s="427"/>
      <c r="O42" s="427"/>
      <c r="P42" s="42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idden="1">
      <c r="A43" s="449"/>
      <c r="B43" s="657" t="s">
        <v>207</v>
      </c>
      <c r="C43" s="658"/>
      <c r="D43" s="1"/>
      <c r="E43" s="1"/>
      <c r="F43" s="347"/>
      <c r="G43" s="450"/>
      <c r="H43" s="35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idden="1">
      <c r="A44" s="449"/>
      <c r="B44" s="451">
        <f>(C6-B39)^2/B39</f>
        <v>0.40649351853068377</v>
      </c>
      <c r="C44" s="451">
        <f>(D6-C39)^2/C39</f>
        <v>7.9359326232228328E-2</v>
      </c>
      <c r="D44" s="1"/>
      <c r="E44" s="434"/>
      <c r="F44" s="452"/>
      <c r="G44" s="1"/>
      <c r="H44" s="1"/>
      <c r="I44" s="1"/>
      <c r="J44" s="1"/>
      <c r="K44" s="9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idden="1">
      <c r="A45" s="449"/>
      <c r="B45" s="451">
        <f>(C7-B40)^2/B40</f>
        <v>0.40636373132808778</v>
      </c>
      <c r="C45" s="451">
        <f>(D7-C40)^2/C40</f>
        <v>7.9333988005461986E-2</v>
      </c>
      <c r="D45" s="11"/>
      <c r="E45" s="434" t="s">
        <v>208</v>
      </c>
      <c r="F45" s="453">
        <f>B47-H39</f>
        <v>-2.8699082565976619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idden="1">
      <c r="A46" s="1" t="s">
        <v>209</v>
      </c>
      <c r="B46" s="1"/>
      <c r="C46" s="454"/>
      <c r="D46" s="1"/>
      <c r="E46" s="1"/>
      <c r="F46" s="350" t="s">
        <v>210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hidden="1" thickBot="1">
      <c r="A47" s="455" t="s">
        <v>211</v>
      </c>
      <c r="B47" s="456">
        <f>SUM(B44:C45)</f>
        <v>0.9715505640964619</v>
      </c>
      <c r="C47" s="1"/>
      <c r="D47" s="1"/>
      <c r="E47" s="1"/>
      <c r="F47" s="350" t="s">
        <v>212</v>
      </c>
      <c r="G47" s="1"/>
      <c r="H47" s="457"/>
      <c r="I47" s="1"/>
      <c r="J47" s="1"/>
      <c r="K47" s="33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hidden="1" thickBot="1">
      <c r="A48" s="458" t="s">
        <v>213</v>
      </c>
      <c r="B48" s="459">
        <f>CHIDIST(B47,1)</f>
        <v>0.32429377693158762</v>
      </c>
      <c r="C48" s="1"/>
      <c r="D48" s="1"/>
      <c r="E48" s="1"/>
      <c r="F48" s="1"/>
      <c r="G48" s="46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idden="1">
      <c r="A49" s="1"/>
      <c r="B49" s="1"/>
      <c r="C49" s="1"/>
      <c r="D49" s="21"/>
      <c r="E49" s="21"/>
      <c r="F49" s="1"/>
      <c r="G49" s="1"/>
      <c r="H49" s="46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idden="1">
      <c r="A51" s="1"/>
      <c r="B51" s="1"/>
      <c r="C51" s="1"/>
      <c r="D51" s="1"/>
      <c r="E51" s="1"/>
      <c r="F51" s="41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idden="1">
      <c r="A52" s="462" t="s">
        <v>214</v>
      </c>
      <c r="B52" s="463"/>
      <c r="C52" s="463"/>
      <c r="D52" s="464" t="s">
        <v>215</v>
      </c>
      <c r="E52" s="465"/>
      <c r="F52" s="465"/>
      <c r="G52" s="46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idden="1">
      <c r="A53" s="467" t="s">
        <v>94</v>
      </c>
      <c r="B53" s="468">
        <f>ROUND(E6,0)</f>
        <v>3131</v>
      </c>
      <c r="C53" s="468">
        <f>ROUND(E7,0)</f>
        <v>3132</v>
      </c>
      <c r="D53" s="469">
        <f>ROUND(F13,2)</f>
        <v>0.95</v>
      </c>
      <c r="E53" s="470">
        <f>ROUND(I25,4)</f>
        <v>9.1999999999999998E-3</v>
      </c>
      <c r="F53" s="471">
        <f>ROUND(I26,0)</f>
        <v>109</v>
      </c>
      <c r="G53" s="47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idden="1">
      <c r="A54" s="467" t="s">
        <v>95</v>
      </c>
      <c r="B54" s="468">
        <f>ROUND(C6,0)</f>
        <v>497</v>
      </c>
      <c r="C54" s="468">
        <f>ROUND(C7,0)</f>
        <v>526</v>
      </c>
      <c r="D54" s="469">
        <f>ROUND(G13,2)</f>
        <v>0.84</v>
      </c>
      <c r="E54" s="470">
        <f>ROUND(K25,4)</f>
        <v>-9.1000000000000004E-3</v>
      </c>
      <c r="F54" s="471">
        <f>ROUND(J26,0)</f>
        <v>36</v>
      </c>
      <c r="G54" s="47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idden="1">
      <c r="A55" s="467" t="s">
        <v>96</v>
      </c>
      <c r="B55" s="470">
        <f>ROUND(C20,4)</f>
        <v>0.15870000000000001</v>
      </c>
      <c r="C55" s="470">
        <f>ROUND(C21,4)</f>
        <v>0.16789999999999999</v>
      </c>
      <c r="D55" s="469">
        <f>ROUND(H13,2)</f>
        <v>1.06</v>
      </c>
      <c r="E55" s="470">
        <f>ROUND(J25,4)</f>
        <v>2.75E-2</v>
      </c>
      <c r="F55" s="471">
        <f>ROUND(K26,0)</f>
        <v>-110</v>
      </c>
      <c r="G55" s="473">
        <f>ROUND(N24,4)</f>
        <v>0.16489999999999999</v>
      </c>
      <c r="I55" s="47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idden="1">
      <c r="A56" s="467" t="s">
        <v>97</v>
      </c>
      <c r="B56" s="475" t="s">
        <v>216</v>
      </c>
      <c r="C56" s="475" t="s">
        <v>217</v>
      </c>
      <c r="D56" s="475" t="s">
        <v>144</v>
      </c>
      <c r="E56" s="475" t="s">
        <v>218</v>
      </c>
      <c r="F56" s="476" t="s">
        <v>219</v>
      </c>
      <c r="G56" s="181" t="s">
        <v>220</v>
      </c>
      <c r="I56" s="47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idden="1">
      <c r="A57" s="477" t="s">
        <v>102</v>
      </c>
      <c r="B57" s="181" t="str">
        <f>CONCATENATE(B54,A58,B53," ",A53,B55*100,A56,A55)</f>
        <v>497/3131 (15,87%)</v>
      </c>
      <c r="C57" s="181" t="str">
        <f>CONCATENATE(C54,A58,C53," ",A53,C55*100,A56,A55)</f>
        <v>526/3132 (16,79%)</v>
      </c>
      <c r="D57" s="181" t="str">
        <f>CONCATENATE(D53," ",A53,D54,A54,D55,A55)</f>
        <v>0,95 (0,84-1,06)</v>
      </c>
      <c r="E57" s="181" t="str">
        <f>CONCATENATE(E53*100,A56," ",A53,E54*100,A56," ",A57," ",E55*100,A56,A55)</f>
        <v>0,92% (-0,91% a 2,75%)</v>
      </c>
      <c r="F57" s="181" t="str">
        <f>CONCATENATE(F53," ",A53,F54," ",A57," ",F55,A55)</f>
        <v>109 (36 a -110)</v>
      </c>
      <c r="G57" s="181" t="str">
        <f>CONCATENATE(G55*100,A56)</f>
        <v>16,49%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idden="1">
      <c r="A58" s="478" t="s">
        <v>84</v>
      </c>
      <c r="B58" s="479"/>
      <c r="C58" s="479"/>
      <c r="D58" s="479"/>
      <c r="E58" s="479"/>
      <c r="F58" s="479"/>
      <c r="G58" s="48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6">
      <c r="A60" s="1"/>
      <c r="B60" s="481" t="s">
        <v>216</v>
      </c>
      <c r="C60" s="481" t="s">
        <v>217</v>
      </c>
      <c r="D60" s="482" t="s">
        <v>100</v>
      </c>
      <c r="E60" s="482" t="s">
        <v>92</v>
      </c>
      <c r="F60" s="482" t="s">
        <v>93</v>
      </c>
      <c r="G60" s="482" t="s">
        <v>221</v>
      </c>
      <c r="I60" s="482" t="s">
        <v>222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9.5" customHeight="1">
      <c r="A61" s="1"/>
      <c r="B61" s="483" t="str">
        <f t="shared" ref="B61:G61" si="0">B57</f>
        <v>497/3131 (15,87%)</v>
      </c>
      <c r="C61" s="483" t="str">
        <f t="shared" si="0"/>
        <v>526/3132 (16,79%)</v>
      </c>
      <c r="D61" s="483" t="str">
        <f t="shared" si="0"/>
        <v>0,95 (0,84-1,06)</v>
      </c>
      <c r="E61" s="483" t="str">
        <f t="shared" si="0"/>
        <v>0,92% (-0,91% a 2,75%)</v>
      </c>
      <c r="F61" s="483" t="str">
        <f t="shared" si="0"/>
        <v>109 (36 a -110)</v>
      </c>
      <c r="G61" s="483" t="str">
        <f t="shared" si="0"/>
        <v>16,49%</v>
      </c>
      <c r="I61" s="484">
        <f>B48</f>
        <v>0.32429377693158762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</row>
    <row r="63" spans="1:256">
      <c r="A63" s="485" t="s">
        <v>223</v>
      </c>
    </row>
    <row r="64" spans="1:256" ht="22.5" customHeight="1">
      <c r="A64" s="532" t="s">
        <v>232</v>
      </c>
      <c r="B64" s="125">
        <v>497</v>
      </c>
      <c r="C64" s="517">
        <v>2634</v>
      </c>
      <c r="D64" s="533">
        <v>3131</v>
      </c>
      <c r="E64" s="125">
        <v>526</v>
      </c>
      <c r="F64" s="517">
        <v>2606</v>
      </c>
      <c r="G64" s="533">
        <v>3132</v>
      </c>
    </row>
    <row r="65" spans="1:11">
      <c r="A65" s="486"/>
    </row>
    <row r="66" spans="1:11">
      <c r="A66" s="486"/>
    </row>
    <row r="67" spans="1:11" ht="39">
      <c r="A67" s="512" t="s">
        <v>380</v>
      </c>
      <c r="B67" s="16" t="s">
        <v>9</v>
      </c>
      <c r="C67" s="16" t="s">
        <v>10</v>
      </c>
      <c r="D67" s="16" t="s">
        <v>11</v>
      </c>
      <c r="E67" s="16" t="s">
        <v>9</v>
      </c>
      <c r="F67" s="16" t="s">
        <v>10</v>
      </c>
      <c r="G67" s="16" t="s">
        <v>11</v>
      </c>
      <c r="I67" s="487" t="s">
        <v>100</v>
      </c>
      <c r="J67" s="487" t="s">
        <v>92</v>
      </c>
      <c r="K67" s="487" t="s">
        <v>93</v>
      </c>
    </row>
    <row r="68" spans="1:11">
      <c r="A68" s="29" t="s">
        <v>231</v>
      </c>
      <c r="B68" s="30">
        <v>276</v>
      </c>
      <c r="C68" s="31">
        <f>D68-B68</f>
        <v>2097</v>
      </c>
      <c r="D68" s="32">
        <v>2373</v>
      </c>
      <c r="E68" s="30">
        <v>329</v>
      </c>
      <c r="F68" s="31">
        <f>G68-E68</f>
        <v>2042</v>
      </c>
      <c r="G68" s="32">
        <v>2371</v>
      </c>
      <c r="I68" s="488" t="s">
        <v>243</v>
      </c>
      <c r="J68" s="488" t="s">
        <v>244</v>
      </c>
      <c r="K68" s="488" t="s">
        <v>245</v>
      </c>
    </row>
    <row r="69" spans="1:11">
      <c r="A69" s="29" t="s">
        <v>230</v>
      </c>
      <c r="B69" s="30">
        <v>249</v>
      </c>
      <c r="C69" s="31">
        <f t="shared" ref="C69:C72" si="1">D69-B69</f>
        <v>1614</v>
      </c>
      <c r="D69" s="32">
        <v>1863</v>
      </c>
      <c r="E69" s="30">
        <v>266</v>
      </c>
      <c r="F69" s="31">
        <f t="shared" ref="F69:F72" si="2">G69-E69</f>
        <v>1601</v>
      </c>
      <c r="G69" s="32">
        <v>1867</v>
      </c>
      <c r="I69" s="488" t="s">
        <v>246</v>
      </c>
      <c r="J69" s="488" t="s">
        <v>247</v>
      </c>
      <c r="K69" s="488" t="s">
        <v>248</v>
      </c>
    </row>
    <row r="70" spans="1:11">
      <c r="A70" s="29" t="s">
        <v>296</v>
      </c>
      <c r="B70" s="30">
        <v>65</v>
      </c>
      <c r="C70" s="31">
        <f t="shared" si="1"/>
        <v>543</v>
      </c>
      <c r="D70" s="32">
        <v>608</v>
      </c>
      <c r="E70" s="30">
        <v>76</v>
      </c>
      <c r="F70" s="31">
        <f t="shared" si="2"/>
        <v>538</v>
      </c>
      <c r="G70" s="32">
        <v>614</v>
      </c>
      <c r="I70" s="488" t="s">
        <v>249</v>
      </c>
      <c r="J70" s="488" t="s">
        <v>250</v>
      </c>
      <c r="K70" s="488" t="s">
        <v>251</v>
      </c>
    </row>
    <row r="71" spans="1:11">
      <c r="A71" s="29" t="s">
        <v>370</v>
      </c>
      <c r="B71" s="30">
        <v>422</v>
      </c>
      <c r="C71" s="31">
        <f t="shared" si="1"/>
        <v>2575</v>
      </c>
      <c r="D71" s="32">
        <v>2997</v>
      </c>
      <c r="E71" s="30">
        <v>427</v>
      </c>
      <c r="F71" s="31">
        <f t="shared" si="2"/>
        <v>2564</v>
      </c>
      <c r="G71" s="32">
        <v>2991</v>
      </c>
      <c r="I71" s="488" t="s">
        <v>252</v>
      </c>
      <c r="J71" s="488" t="s">
        <v>253</v>
      </c>
      <c r="K71" s="488" t="s">
        <v>254</v>
      </c>
    </row>
    <row r="72" spans="1:11">
      <c r="A72" s="29" t="s">
        <v>232</v>
      </c>
      <c r="B72" s="30">
        <v>497</v>
      </c>
      <c r="C72" s="31">
        <f t="shared" si="1"/>
        <v>2634</v>
      </c>
      <c r="D72" s="32">
        <v>3131</v>
      </c>
      <c r="E72" s="30">
        <v>526</v>
      </c>
      <c r="F72" s="31">
        <f t="shared" si="2"/>
        <v>2606</v>
      </c>
      <c r="G72" s="32">
        <v>3132</v>
      </c>
      <c r="I72" s="290" t="s">
        <v>255</v>
      </c>
      <c r="J72" s="290" t="s">
        <v>256</v>
      </c>
      <c r="K72" s="290" t="s">
        <v>257</v>
      </c>
    </row>
    <row r="73" spans="1:11">
      <c r="A73" s="486"/>
    </row>
    <row r="75" spans="1:11">
      <c r="A75" s="486"/>
    </row>
    <row r="76" spans="1:11">
      <c r="A76" s="486"/>
    </row>
    <row r="77" spans="1:11">
      <c r="A77" s="486"/>
    </row>
    <row r="78" spans="1:11">
      <c r="A78" s="486"/>
    </row>
    <row r="79" spans="1:11">
      <c r="A79" s="486"/>
    </row>
    <row r="80" spans="1:11">
      <c r="A80" s="486"/>
    </row>
    <row r="81" spans="1:1">
      <c r="A81" s="486"/>
    </row>
    <row r="82" spans="1:1">
      <c r="A82" s="486"/>
    </row>
    <row r="83" spans="1:1">
      <c r="A83" s="486"/>
    </row>
    <row r="84" spans="1:1">
      <c r="A84" s="486"/>
    </row>
    <row r="85" spans="1:1">
      <c r="A85" s="486"/>
    </row>
    <row r="86" spans="1:1">
      <c r="A86" s="486"/>
    </row>
    <row r="87" spans="1:1">
      <c r="A87" s="486"/>
    </row>
    <row r="88" spans="1:1">
      <c r="A88" s="486"/>
    </row>
    <row r="89" spans="1:1">
      <c r="A89" s="486"/>
    </row>
    <row r="90" spans="1:1">
      <c r="A90" s="486"/>
    </row>
    <row r="91" spans="1:1">
      <c r="A91" s="486"/>
    </row>
    <row r="92" spans="1:1">
      <c r="A92" s="486"/>
    </row>
    <row r="93" spans="1:1">
      <c r="A93" s="486"/>
    </row>
    <row r="94" spans="1:1">
      <c r="A94" s="486"/>
    </row>
    <row r="95" spans="1:1">
      <c r="A95" s="486"/>
    </row>
    <row r="96" spans="1:1">
      <c r="A96" s="486"/>
    </row>
    <row r="97" spans="1:1">
      <c r="A97" s="486"/>
    </row>
    <row r="98" spans="1:1">
      <c r="A98" s="486"/>
    </row>
    <row r="99" spans="1:1">
      <c r="A99" s="486"/>
    </row>
    <row r="100" spans="1:1">
      <c r="A100" s="486"/>
    </row>
  </sheetData>
  <mergeCells count="10">
    <mergeCell ref="L19:L26"/>
    <mergeCell ref="F29:H29"/>
    <mergeCell ref="F30:H30"/>
    <mergeCell ref="F31:H31"/>
    <mergeCell ref="F34:H34"/>
    <mergeCell ref="F35:H35"/>
    <mergeCell ref="F36:H36"/>
    <mergeCell ref="B43:C43"/>
    <mergeCell ref="A2:F2"/>
    <mergeCell ref="A3:F3"/>
  </mergeCells>
  <pageMargins left="0.7" right="0.7" top="0.75" bottom="0.75" header="0.3" footer="0.3"/>
  <pageSetup paperSize="9" orientation="portrait" r:id="rId1"/>
  <ignoredErrors>
    <ignoredError sqref="D6:D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94A5-6D39-4F40-A033-73A6FE136D1D}">
  <dimension ref="A1:S69"/>
  <sheetViews>
    <sheetView zoomScale="70" zoomScaleNormal="70" workbookViewId="0"/>
  </sheetViews>
  <sheetFormatPr baseColWidth="10" defaultColWidth="16" defaultRowHeight="13"/>
  <cols>
    <col min="1" max="1" width="21.45312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Mortalidad por todas las causas [+ - FEVIr, + - DM2], en 21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39">
      <c r="A4" s="512" t="s">
        <v>380</v>
      </c>
      <c r="B4" s="16" t="s">
        <v>9</v>
      </c>
      <c r="C4" s="16" t="s">
        <v>10</v>
      </c>
      <c r="D4" s="16" t="s">
        <v>11</v>
      </c>
      <c r="E4" s="16" t="s">
        <v>9</v>
      </c>
      <c r="F4" s="16" t="s">
        <v>10</v>
      </c>
      <c r="G4" s="16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29" t="s">
        <v>231</v>
      </c>
      <c r="B5" s="30">
        <v>276</v>
      </c>
      <c r="C5" s="31">
        <f>D5-B5</f>
        <v>2097</v>
      </c>
      <c r="D5" s="32">
        <v>2373</v>
      </c>
      <c r="E5" s="30">
        <v>329</v>
      </c>
      <c r="F5" s="31">
        <f>G5-E5</f>
        <v>2042</v>
      </c>
      <c r="G5" s="32">
        <v>2371</v>
      </c>
      <c r="H5" s="522">
        <v>1.4166666666666667</v>
      </c>
      <c r="I5" s="132">
        <f t="shared" ref="I5:I9" si="0">D5*H5</f>
        <v>3361.75</v>
      </c>
      <c r="J5" s="132">
        <f t="shared" ref="J5:J9" si="1">G5*H5</f>
        <v>3358.916666666667</v>
      </c>
      <c r="K5" s="132">
        <f>I5+J5</f>
        <v>6720.666666666667</v>
      </c>
      <c r="L5" s="133">
        <f t="shared" ref="L5:L10" si="2">B5/I5</f>
        <v>8.210009667583848E-2</v>
      </c>
      <c r="M5" s="133">
        <f t="shared" ref="M5:M10" si="3">E5/J5</f>
        <v>9.7948247202719121E-2</v>
      </c>
      <c r="N5" s="134">
        <v>66.349999999999994</v>
      </c>
      <c r="O5" s="615">
        <f>N5*(D5+G5)</f>
        <v>314764.39999999997</v>
      </c>
      <c r="P5" s="613" t="str">
        <f t="shared" ref="P5:P10" si="4">CONCATENATE(B5," ",$P$4," ",D5)</f>
        <v>276 / 2373</v>
      </c>
      <c r="Q5" s="613" t="str">
        <f t="shared" ref="Q5:Q10" si="5">CONCATENATE(E5," ",$Q$4," ",G5)</f>
        <v>329 / 2371</v>
      </c>
    </row>
    <row r="6" spans="1:19">
      <c r="A6" s="29" t="s">
        <v>230</v>
      </c>
      <c r="B6" s="30">
        <v>249</v>
      </c>
      <c r="C6" s="31">
        <f t="shared" ref="C6:C9" si="6">D6-B6</f>
        <v>1614</v>
      </c>
      <c r="D6" s="32">
        <v>1863</v>
      </c>
      <c r="E6" s="30">
        <v>266</v>
      </c>
      <c r="F6" s="31">
        <f t="shared" ref="F6:F9" si="7">G6-E6</f>
        <v>1601</v>
      </c>
      <c r="G6" s="32">
        <v>1867</v>
      </c>
      <c r="H6" s="522">
        <v>1.25</v>
      </c>
      <c r="I6" s="132">
        <f t="shared" si="0"/>
        <v>2328.75</v>
      </c>
      <c r="J6" s="132">
        <f t="shared" si="1"/>
        <v>2333.75</v>
      </c>
      <c r="K6" s="132">
        <f t="shared" ref="K6:K9" si="8">I6+J6</f>
        <v>4662.5</v>
      </c>
      <c r="L6" s="133">
        <f t="shared" si="2"/>
        <v>0.10692431561996779</v>
      </c>
      <c r="M6" s="133">
        <f t="shared" si="3"/>
        <v>0.11397964649169791</v>
      </c>
      <c r="N6" s="134">
        <v>66.849999999999994</v>
      </c>
      <c r="O6" s="615">
        <f t="shared" ref="O6:O9" si="9">N6*(D6+G6)</f>
        <v>249350.49999999997</v>
      </c>
      <c r="P6" s="613" t="str">
        <f t="shared" si="4"/>
        <v>249 / 1863</v>
      </c>
      <c r="Q6" s="613" t="str">
        <f t="shared" si="5"/>
        <v>266 / 1867</v>
      </c>
    </row>
    <row r="7" spans="1:19">
      <c r="A7" s="29" t="s">
        <v>296</v>
      </c>
      <c r="B7" s="30">
        <v>65</v>
      </c>
      <c r="C7" s="31">
        <f t="shared" si="6"/>
        <v>543</v>
      </c>
      <c r="D7" s="32">
        <v>608</v>
      </c>
      <c r="E7" s="30">
        <v>76</v>
      </c>
      <c r="F7" s="31">
        <f t="shared" si="7"/>
        <v>538</v>
      </c>
      <c r="G7" s="32">
        <v>614</v>
      </c>
      <c r="H7" s="522">
        <v>0.75</v>
      </c>
      <c r="I7" s="132">
        <f t="shared" si="0"/>
        <v>456</v>
      </c>
      <c r="J7" s="132">
        <f t="shared" si="1"/>
        <v>460.5</v>
      </c>
      <c r="K7" s="132">
        <f t="shared" si="8"/>
        <v>916.5</v>
      </c>
      <c r="L7" s="133">
        <f t="shared" si="2"/>
        <v>0.14254385964912281</v>
      </c>
      <c r="M7" s="133">
        <f t="shared" si="3"/>
        <v>0.16503800217155265</v>
      </c>
      <c r="N7" s="134">
        <v>69.5</v>
      </c>
      <c r="O7" s="615">
        <f t="shared" si="9"/>
        <v>84929</v>
      </c>
      <c r="P7" s="613" t="str">
        <f t="shared" si="4"/>
        <v>65 / 608</v>
      </c>
      <c r="Q7" s="613" t="str">
        <f t="shared" si="5"/>
        <v>76 / 614</v>
      </c>
    </row>
    <row r="8" spans="1:19">
      <c r="A8" s="29" t="s">
        <v>370</v>
      </c>
      <c r="B8" s="30">
        <v>422</v>
      </c>
      <c r="C8" s="31">
        <f t="shared" si="6"/>
        <v>2575</v>
      </c>
      <c r="D8" s="32">
        <v>2997</v>
      </c>
      <c r="E8" s="30">
        <v>427</v>
      </c>
      <c r="F8" s="31">
        <f t="shared" si="7"/>
        <v>2564</v>
      </c>
      <c r="G8" s="32">
        <v>2991</v>
      </c>
      <c r="H8" s="522">
        <v>2</v>
      </c>
      <c r="I8" s="132">
        <f t="shared" si="0"/>
        <v>5994</v>
      </c>
      <c r="J8" s="132">
        <f t="shared" si="1"/>
        <v>5982</v>
      </c>
      <c r="K8" s="132">
        <f t="shared" si="8"/>
        <v>11976</v>
      </c>
      <c r="L8" s="133">
        <f t="shared" si="2"/>
        <v>7.0403737070403732E-2</v>
      </c>
      <c r="M8" s="133">
        <f t="shared" si="3"/>
        <v>7.1380809093948519E-2</v>
      </c>
      <c r="N8" s="134">
        <v>71.849999999999994</v>
      </c>
      <c r="O8" s="615">
        <f t="shared" si="9"/>
        <v>430237.8</v>
      </c>
      <c r="P8" s="613" t="str">
        <f t="shared" si="4"/>
        <v>422 / 2997</v>
      </c>
      <c r="Q8" s="613" t="str">
        <f t="shared" si="5"/>
        <v>427 / 2991</v>
      </c>
    </row>
    <row r="9" spans="1:19">
      <c r="A9" s="29" t="s">
        <v>232</v>
      </c>
      <c r="B9" s="30">
        <v>497</v>
      </c>
      <c r="C9" s="31">
        <f t="shared" si="6"/>
        <v>2634</v>
      </c>
      <c r="D9" s="32">
        <v>3131</v>
      </c>
      <c r="E9" s="30">
        <v>526</v>
      </c>
      <c r="F9" s="31">
        <f t="shared" si="7"/>
        <v>2606</v>
      </c>
      <c r="G9" s="32">
        <v>3132</v>
      </c>
      <c r="H9" s="522">
        <v>2.1666666666666665</v>
      </c>
      <c r="I9" s="132">
        <f t="shared" si="0"/>
        <v>6783.833333333333</v>
      </c>
      <c r="J9" s="132">
        <f t="shared" si="1"/>
        <v>6785.9999999999991</v>
      </c>
      <c r="K9" s="132">
        <f t="shared" si="8"/>
        <v>13569.833333333332</v>
      </c>
      <c r="L9" s="133">
        <f t="shared" si="2"/>
        <v>7.3262413089944231E-2</v>
      </c>
      <c r="M9" s="133">
        <f t="shared" si="3"/>
        <v>7.7512525788387868E-2</v>
      </c>
      <c r="N9" s="134">
        <v>71.650000000000006</v>
      </c>
      <c r="O9" s="615">
        <f t="shared" si="9"/>
        <v>448743.95</v>
      </c>
      <c r="P9" s="613" t="str">
        <f t="shared" si="4"/>
        <v>497 / 3131</v>
      </c>
      <c r="Q9" s="613" t="str">
        <f t="shared" si="5"/>
        <v>526 / 3132</v>
      </c>
    </row>
    <row r="10" spans="1:19">
      <c r="A10" s="135">
        <f>COUNT(D5:D9)</f>
        <v>5</v>
      </c>
      <c r="B10" s="136">
        <f>SUM(B5:B9)</f>
        <v>1509</v>
      </c>
      <c r="C10" s="137"/>
      <c r="D10" s="136">
        <f>SUM(D5:D9)</f>
        <v>10972</v>
      </c>
      <c r="E10" s="136">
        <f>SUM(E5:E9)</f>
        <v>1624</v>
      </c>
      <c r="F10" s="137"/>
      <c r="G10" s="136">
        <f>SUM(G5:G9)</f>
        <v>10975</v>
      </c>
      <c r="H10" s="523">
        <f>K10/(D10+G10)</f>
        <v>1.7244042465940674</v>
      </c>
      <c r="I10" s="138">
        <f>SUM(I5:I9)</f>
        <v>18924.333333333332</v>
      </c>
      <c r="J10" s="138">
        <f>SUM(J5:J9)</f>
        <v>18921.166666666668</v>
      </c>
      <c r="K10" s="138">
        <f>SUM(K5:K9)</f>
        <v>37845.5</v>
      </c>
      <c r="L10" s="139">
        <f t="shared" si="2"/>
        <v>7.9738608141193879E-2</v>
      </c>
      <c r="M10" s="139">
        <f t="shared" si="3"/>
        <v>8.5829802602024177E-2</v>
      </c>
      <c r="N10" s="140">
        <f>O10/(D10+G10)</f>
        <v>69.623440561352339</v>
      </c>
      <c r="O10" s="616">
        <f>SUM(O5:O9)</f>
        <v>1528025.65</v>
      </c>
      <c r="P10" s="617" t="str">
        <f t="shared" si="4"/>
        <v>1509 / 10972</v>
      </c>
      <c r="Q10" s="617" t="str">
        <f t="shared" si="5"/>
        <v>1624 / 10975</v>
      </c>
    </row>
    <row r="11" spans="1:19" ht="15" thickBot="1">
      <c r="B11" s="1"/>
      <c r="C11" s="1"/>
      <c r="E11" s="141"/>
      <c r="F11" s="11"/>
      <c r="S11" s="117"/>
    </row>
    <row r="12" spans="1:19" ht="15" thickBot="1">
      <c r="B12" s="142" t="s">
        <v>85</v>
      </c>
      <c r="C12" s="143">
        <v>0.14800527609126102</v>
      </c>
      <c r="D12" s="644" t="s">
        <v>86</v>
      </c>
      <c r="E12" s="645"/>
      <c r="F12" s="646"/>
      <c r="S12" s="117"/>
    </row>
    <row r="13" spans="1:19" ht="26.5" thickBot="1">
      <c r="A13" s="144">
        <f>I40</f>
        <v>8.5829802602024177E-2</v>
      </c>
      <c r="B13" s="121" t="s">
        <v>87</v>
      </c>
      <c r="C13" s="15"/>
      <c r="D13" s="145" t="s">
        <v>88</v>
      </c>
      <c r="E13" s="146" t="s">
        <v>89</v>
      </c>
      <c r="F13" s="145" t="s">
        <v>90</v>
      </c>
      <c r="S13" s="117"/>
    </row>
    <row r="14" spans="1:19" ht="15" thickBot="1">
      <c r="A14" s="147">
        <f>E40</f>
        <v>1.7244042465940674</v>
      </c>
      <c r="B14" s="148" t="s">
        <v>91</v>
      </c>
      <c r="C14" s="15"/>
      <c r="D14" s="149">
        <v>0.92998746745801864</v>
      </c>
      <c r="E14" s="150">
        <v>0.87158720660034872</v>
      </c>
      <c r="F14" s="151">
        <v>0.99230080831779988</v>
      </c>
      <c r="G14" s="15"/>
      <c r="S14" s="117"/>
    </row>
    <row r="15" spans="1:19" ht="14.5" hidden="1">
      <c r="A15" s="152"/>
      <c r="B15" s="153"/>
      <c r="C15" s="1"/>
      <c r="S15" s="117"/>
    </row>
    <row r="16" spans="1:19" ht="15" hidden="1" thickBot="1">
      <c r="A16" s="152"/>
      <c r="B16" s="154"/>
      <c r="C16" s="155"/>
      <c r="D16" s="156">
        <f>C12*D14</f>
        <v>0.13764305188253667</v>
      </c>
      <c r="E16" s="157">
        <f>C12*E14</f>
        <v>0.12899950515049557</v>
      </c>
      <c r="F16" s="158">
        <f>C12*F14</f>
        <v>0.14686575510065744</v>
      </c>
      <c r="S16" s="117"/>
    </row>
    <row r="17" spans="1:19" ht="14.5" hidden="1">
      <c r="A17" s="152"/>
      <c r="B17" s="153"/>
      <c r="C17" s="1"/>
      <c r="S17" s="117"/>
    </row>
    <row r="18" spans="1:19" ht="15" hidden="1" thickBot="1">
      <c r="A18" s="152"/>
      <c r="B18" s="159"/>
      <c r="C18" s="160" t="s">
        <v>92</v>
      </c>
      <c r="D18" s="161">
        <f>C12-D16</f>
        <v>1.0362224208724347E-2</v>
      </c>
      <c r="E18" s="162">
        <f>C12-F16</f>
        <v>1.1395209906035764E-3</v>
      </c>
      <c r="F18" s="163">
        <f>C12-E16</f>
        <v>1.9005770940765443E-2</v>
      </c>
      <c r="S18" s="117"/>
    </row>
    <row r="19" spans="1:19" ht="15" hidden="1" thickBot="1">
      <c r="A19" s="152"/>
      <c r="B19" s="164"/>
      <c r="C19" s="165" t="s">
        <v>93</v>
      </c>
      <c r="D19" s="166">
        <f>1/D18</f>
        <v>96.50437781090109</v>
      </c>
      <c r="E19" s="167">
        <f>1/F18</f>
        <v>52.615597815877166</v>
      </c>
      <c r="F19" s="168">
        <f>1/E18</f>
        <v>877.56171956983826</v>
      </c>
      <c r="S19" s="117"/>
    </row>
    <row r="20" spans="1:19" ht="14.5" hidden="1">
      <c r="A20" s="152"/>
      <c r="B20" s="153"/>
      <c r="C20" s="15"/>
      <c r="D20" s="15"/>
      <c r="E20" s="15"/>
      <c r="F20" s="15"/>
      <c r="S20" s="117"/>
    </row>
    <row r="21" spans="1:19" ht="14.5" hidden="1">
      <c r="A21" s="152"/>
      <c r="B21" s="169" t="s">
        <v>94</v>
      </c>
      <c r="C21" s="170"/>
      <c r="D21" s="170"/>
      <c r="E21" s="171">
        <f>ROUND(D14,2)</f>
        <v>0.93</v>
      </c>
      <c r="F21" s="172">
        <f>ROUND(D18,4)</f>
        <v>1.04E-2</v>
      </c>
      <c r="G21" s="173">
        <f>ROUND(D19,0)</f>
        <v>97</v>
      </c>
      <c r="S21" s="117"/>
    </row>
    <row r="22" spans="1:19" ht="14.5" hidden="1">
      <c r="A22" s="152"/>
      <c r="B22" s="174" t="s">
        <v>95</v>
      </c>
      <c r="C22" s="175">
        <f>ROUND(D16,4)</f>
        <v>0.1376</v>
      </c>
      <c r="D22" s="176">
        <f>ROUND(C12,4)</f>
        <v>0.14799999999999999</v>
      </c>
      <c r="E22" s="177">
        <f>ROUND(E14,2)</f>
        <v>0.87</v>
      </c>
      <c r="F22" s="178">
        <f>ROUND(E18,4)</f>
        <v>1.1000000000000001E-3</v>
      </c>
      <c r="G22" s="179">
        <f>ROUND(E19,0)</f>
        <v>53</v>
      </c>
      <c r="S22" s="117"/>
    </row>
    <row r="23" spans="1:19" ht="14.5" hidden="1">
      <c r="A23" s="152"/>
      <c r="B23" s="174" t="s">
        <v>96</v>
      </c>
      <c r="C23" s="180"/>
      <c r="D23" s="180"/>
      <c r="E23" s="177">
        <f>ROUND(F14,2)</f>
        <v>0.99</v>
      </c>
      <c r="F23" s="178">
        <f>ROUND(F18,4)</f>
        <v>1.9E-2</v>
      </c>
      <c r="G23" s="179">
        <f>ROUND(F19,0)</f>
        <v>878</v>
      </c>
      <c r="S23" s="117"/>
    </row>
    <row r="24" spans="1:19" ht="14.5" hidden="1">
      <c r="A24" s="152"/>
      <c r="B24" s="174" t="s">
        <v>97</v>
      </c>
      <c r="C24" s="181" t="s">
        <v>98</v>
      </c>
      <c r="D24" s="181" t="s">
        <v>99</v>
      </c>
      <c r="E24" s="182" t="s">
        <v>100</v>
      </c>
      <c r="F24" s="182" t="s">
        <v>101</v>
      </c>
      <c r="G24" s="181" t="s">
        <v>93</v>
      </c>
      <c r="S24" s="117"/>
    </row>
    <row r="25" spans="1:19" ht="14.5" hidden="1">
      <c r="A25" s="152"/>
      <c r="B25" s="183" t="s">
        <v>102</v>
      </c>
      <c r="C25" s="181" t="str">
        <f>CONCATENATE(C22*100,B24)</f>
        <v>13,76%</v>
      </c>
      <c r="D25" s="181" t="str">
        <f>CONCATENATE(D22*100,B24)</f>
        <v>14,8%</v>
      </c>
      <c r="E25" s="181" t="str">
        <f>CONCATENATE(E21," ",B21,E22,B22,E23,B23)</f>
        <v>0,93 (0,87-0,99)</v>
      </c>
      <c r="F25" s="181" t="str">
        <f>CONCATENATE(F21*100,B24," ",B21,F22*100,B24," ",B25," ",F23*100,B24,B23)</f>
        <v>1,04% (0,11% a 1,9%)</v>
      </c>
      <c r="G25" s="181" t="str">
        <f>CONCATENATE(G21," ",B21,G22," ",B25," ",G23,B23)</f>
        <v>97 (53 a 878)</v>
      </c>
      <c r="S25" s="117"/>
    </row>
    <row r="26" spans="1:19" ht="14.5" hidden="1">
      <c r="A26" s="184"/>
      <c r="B26" s="153"/>
      <c r="D26" s="112"/>
      <c r="E26" s="112"/>
      <c r="F26" s="112"/>
      <c r="G26" s="112"/>
      <c r="S26" s="117"/>
    </row>
    <row r="27" spans="1:19" ht="15" thickBot="1">
      <c r="A27" s="144">
        <f>A13*A14</f>
        <v>0.14800527609126102</v>
      </c>
      <c r="B27" s="121" t="s">
        <v>103</v>
      </c>
      <c r="C27" s="1"/>
      <c r="S27" s="117"/>
    </row>
    <row r="28" spans="1:19" ht="15" thickBot="1">
      <c r="A28" s="185"/>
      <c r="B28" s="1"/>
      <c r="C28" s="186" t="s">
        <v>104</v>
      </c>
      <c r="D28" s="187" t="s">
        <v>99</v>
      </c>
      <c r="E28" s="187" t="s">
        <v>100</v>
      </c>
      <c r="F28" s="187" t="s">
        <v>92</v>
      </c>
      <c r="G28" s="188" t="s">
        <v>93</v>
      </c>
      <c r="S28" s="117"/>
    </row>
    <row r="29" spans="1:19" ht="26.5" thickBot="1">
      <c r="A29" s="189"/>
      <c r="B29" s="190"/>
      <c r="C29" s="191" t="str">
        <f>C25</f>
        <v>13,76%</v>
      </c>
      <c r="D29" s="192" t="str">
        <f>D25</f>
        <v>14,8%</v>
      </c>
      <c r="E29" s="192" t="str">
        <f>E25</f>
        <v>0,93 (0,87-0,99)</v>
      </c>
      <c r="F29" s="192" t="str">
        <f>F25</f>
        <v>1,04% (0,11% a 1,9%)</v>
      </c>
      <c r="G29" s="193" t="str">
        <f>G25</f>
        <v>97 (53 a 878)</v>
      </c>
      <c r="S29" s="117"/>
    </row>
    <row r="30" spans="1:19" ht="14.5">
      <c r="B30" s="1"/>
      <c r="C30" s="1"/>
      <c r="E30" s="141"/>
      <c r="F30" s="11"/>
      <c r="S30" s="117"/>
    </row>
    <row r="31" spans="1:19" ht="15" thickBot="1">
      <c r="D31" s="141"/>
      <c r="E31" s="141"/>
      <c r="S31" s="117"/>
    </row>
    <row r="32" spans="1:19" ht="33" customHeight="1" thickBot="1">
      <c r="A32" s="558" t="s">
        <v>389</v>
      </c>
      <c r="B32" s="194" t="str">
        <f>B2</f>
        <v>Mortalidad por todas las causas [+ - FEVIr, + - DM2], en 21 meses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6"/>
      <c r="S32" s="117"/>
    </row>
    <row r="33" spans="1:19" ht="36" customHeight="1" thickBot="1">
      <c r="A33" s="637" t="s">
        <v>105</v>
      </c>
      <c r="B33" s="633" t="s">
        <v>106</v>
      </c>
      <c r="C33" s="639" t="s">
        <v>107</v>
      </c>
      <c r="D33" s="637" t="s">
        <v>233</v>
      </c>
      <c r="E33" s="633" t="s">
        <v>108</v>
      </c>
      <c r="F33" s="633" t="s">
        <v>109</v>
      </c>
      <c r="G33" s="633" t="s">
        <v>110</v>
      </c>
      <c r="H33" s="633" t="s">
        <v>111</v>
      </c>
      <c r="I33" s="633" t="s">
        <v>112</v>
      </c>
      <c r="J33" s="633" t="s">
        <v>113</v>
      </c>
      <c r="K33" s="635" t="s">
        <v>114</v>
      </c>
      <c r="L33" s="625" t="s">
        <v>115</v>
      </c>
      <c r="M33" s="626"/>
      <c r="N33" s="626"/>
      <c r="O33" s="627"/>
      <c r="S33" s="117"/>
    </row>
    <row r="34" spans="1:19" ht="43.5" customHeight="1" thickBot="1">
      <c r="A34" s="638"/>
      <c r="B34" s="634"/>
      <c r="C34" s="640"/>
      <c r="D34" s="638"/>
      <c r="E34" s="634"/>
      <c r="F34" s="634"/>
      <c r="G34" s="634"/>
      <c r="H34" s="634"/>
      <c r="I34" s="634"/>
      <c r="J34" s="634"/>
      <c r="K34" s="636"/>
      <c r="L34" s="197" t="s">
        <v>116</v>
      </c>
      <c r="M34" s="198" t="s">
        <v>92</v>
      </c>
      <c r="N34" s="199" t="s">
        <v>93</v>
      </c>
      <c r="O34" s="200" t="s">
        <v>117</v>
      </c>
      <c r="S34" s="117"/>
    </row>
    <row r="35" spans="1:19" ht="44.5" customHeight="1">
      <c r="A35" s="521">
        <v>9</v>
      </c>
      <c r="B35" s="201" t="str">
        <f>A5</f>
        <v>20191121-ECA DAPA-HF 17m, FEVI 31+42DM [Dapa vs Pl],-MACE. McMurray</v>
      </c>
      <c r="C35" s="202" t="s">
        <v>118</v>
      </c>
      <c r="D35" s="203"/>
      <c r="E35" s="204">
        <f t="shared" ref="E35:E40" si="10">H5</f>
        <v>1.4166666666666667</v>
      </c>
      <c r="F35" s="205" t="str">
        <f t="shared" ref="F35:F40" si="11">P5</f>
        <v>276 / 2373</v>
      </c>
      <c r="G35" s="206">
        <f t="shared" ref="G35:G40" si="12">L5</f>
        <v>8.210009667583848E-2</v>
      </c>
      <c r="H35" s="205" t="str">
        <f t="shared" ref="H35:H40" si="13">Q5</f>
        <v>329 / 2371</v>
      </c>
      <c r="I35" s="207">
        <f t="shared" ref="I35:J40" si="14">M5</f>
        <v>9.7948247202719121E-2</v>
      </c>
      <c r="J35" s="208">
        <f t="shared" si="14"/>
        <v>66.349999999999994</v>
      </c>
      <c r="K35" s="209">
        <v>0.18815042138213633</v>
      </c>
      <c r="L35" s="210" t="s">
        <v>243</v>
      </c>
      <c r="M35" s="211" t="s">
        <v>244</v>
      </c>
      <c r="N35" s="212" t="s">
        <v>245</v>
      </c>
      <c r="O35" s="18" t="s">
        <v>292</v>
      </c>
      <c r="Q35" s="27">
        <v>3.5</v>
      </c>
      <c r="R35" s="213">
        <f>Q35*K35</f>
        <v>0.65852647483747717</v>
      </c>
      <c r="S35" s="117"/>
    </row>
    <row r="36" spans="1:19" ht="44.5" customHeight="1">
      <c r="A36" s="214"/>
      <c r="B36" s="201" t="str">
        <f>A6</f>
        <v>20201008-ECA EMPEROR-red 15m, FEVI 27+50DM [Empa vs Pl], -MACE. Packer</v>
      </c>
      <c r="C36" s="202" t="s">
        <v>118</v>
      </c>
      <c r="D36" s="203"/>
      <c r="E36" s="204">
        <f t="shared" si="10"/>
        <v>1.25</v>
      </c>
      <c r="F36" s="205" t="str">
        <f t="shared" si="11"/>
        <v>249 / 1863</v>
      </c>
      <c r="G36" s="206">
        <f t="shared" si="12"/>
        <v>0.10692431561996779</v>
      </c>
      <c r="H36" s="205" t="str">
        <f t="shared" si="13"/>
        <v>266 / 1867</v>
      </c>
      <c r="I36" s="206">
        <f t="shared" si="14"/>
        <v>0.11397964649169791</v>
      </c>
      <c r="J36" s="208">
        <f t="shared" si="14"/>
        <v>66.849999999999994</v>
      </c>
      <c r="K36" s="209">
        <v>0.16334999235248901</v>
      </c>
      <c r="L36" s="210" t="s">
        <v>246</v>
      </c>
      <c r="M36" s="211" t="s">
        <v>247</v>
      </c>
      <c r="N36" s="211" t="s">
        <v>248</v>
      </c>
      <c r="O36" s="18" t="s">
        <v>292</v>
      </c>
      <c r="Q36" s="27">
        <v>3.5</v>
      </c>
      <c r="R36" s="213">
        <f t="shared" ref="R36:R39" si="15">Q36*K36</f>
        <v>0.57172497323371152</v>
      </c>
      <c r="S36" s="117"/>
    </row>
    <row r="37" spans="1:19" ht="44.5" customHeight="1">
      <c r="A37" s="214"/>
      <c r="B37" s="201" t="str">
        <f>A7</f>
        <v>20210114-ECA SOLOIST 9m, FEVI 35+100DM [Sota vs Pl], -MortCV InsCar. Bhatt</v>
      </c>
      <c r="C37" s="202" t="s">
        <v>118</v>
      </c>
      <c r="D37" s="203"/>
      <c r="E37" s="204">
        <f t="shared" si="10"/>
        <v>0.75</v>
      </c>
      <c r="F37" s="205" t="str">
        <f t="shared" si="11"/>
        <v>65 / 608</v>
      </c>
      <c r="G37" s="206">
        <f t="shared" si="12"/>
        <v>0.14254385964912281</v>
      </c>
      <c r="H37" s="205" t="str">
        <f t="shared" si="13"/>
        <v>76 / 614</v>
      </c>
      <c r="I37" s="206">
        <f t="shared" si="14"/>
        <v>0.16503800217155265</v>
      </c>
      <c r="J37" s="208">
        <f t="shared" si="14"/>
        <v>69.5</v>
      </c>
      <c r="K37" s="209">
        <v>4.333145797291775E-2</v>
      </c>
      <c r="L37" s="210" t="s">
        <v>249</v>
      </c>
      <c r="M37" s="211" t="s">
        <v>250</v>
      </c>
      <c r="N37" s="211" t="s">
        <v>251</v>
      </c>
      <c r="O37" s="565" t="s">
        <v>335</v>
      </c>
      <c r="P37" s="557"/>
      <c r="Q37" s="566">
        <v>3</v>
      </c>
      <c r="R37" s="213">
        <f t="shared" si="15"/>
        <v>0.12999437391875324</v>
      </c>
      <c r="S37" s="117"/>
    </row>
    <row r="38" spans="1:19" ht="44.5" customHeight="1">
      <c r="A38" s="214"/>
      <c r="B38" s="201" t="str">
        <f>A8</f>
        <v>20211014-ECA Emperor-Pres 24m, FEVI 54+50DM, [Empa vs Pl], -ICC. Anker</v>
      </c>
      <c r="C38" s="202" t="s">
        <v>118</v>
      </c>
      <c r="D38" s="203"/>
      <c r="E38" s="204">
        <f t="shared" si="10"/>
        <v>2</v>
      </c>
      <c r="F38" s="205" t="str">
        <f t="shared" si="11"/>
        <v>422 / 2997</v>
      </c>
      <c r="G38" s="206">
        <f t="shared" si="12"/>
        <v>7.0403737070403732E-2</v>
      </c>
      <c r="H38" s="205" t="str">
        <f t="shared" si="13"/>
        <v>427 / 2991</v>
      </c>
      <c r="I38" s="206">
        <f t="shared" si="14"/>
        <v>7.1380809093948519E-2</v>
      </c>
      <c r="J38" s="208">
        <f t="shared" si="14"/>
        <v>71.849999999999994</v>
      </c>
      <c r="K38" s="209">
        <v>0.27078625771302506</v>
      </c>
      <c r="L38" s="210" t="s">
        <v>252</v>
      </c>
      <c r="M38" s="211" t="s">
        <v>253</v>
      </c>
      <c r="N38" s="211" t="s">
        <v>254</v>
      </c>
      <c r="O38" s="18" t="s">
        <v>292</v>
      </c>
      <c r="Q38" s="27">
        <v>3.5</v>
      </c>
      <c r="R38" s="213">
        <f t="shared" si="15"/>
        <v>0.94775190199558768</v>
      </c>
      <c r="S38" s="117"/>
    </row>
    <row r="39" spans="1:19" ht="44.5" customHeight="1" thickBot="1">
      <c r="A39" s="214"/>
      <c r="B39" s="201" t="str">
        <f>A9</f>
        <v>20220922-ECA DELIVER 26m, FEVI 54+45DM, [Dapa vs Pl], -InsCar. Solomon</v>
      </c>
      <c r="C39" s="202" t="s">
        <v>118</v>
      </c>
      <c r="D39" s="203"/>
      <c r="E39" s="204">
        <f t="shared" si="10"/>
        <v>2.1666666666666665</v>
      </c>
      <c r="F39" s="205" t="str">
        <f t="shared" si="11"/>
        <v>497 / 3131</v>
      </c>
      <c r="G39" s="206">
        <f t="shared" si="12"/>
        <v>7.3262413089944231E-2</v>
      </c>
      <c r="H39" s="205" t="str">
        <f t="shared" si="13"/>
        <v>526 / 3132</v>
      </c>
      <c r="I39" s="206">
        <f t="shared" si="14"/>
        <v>7.7512525788387868E-2</v>
      </c>
      <c r="J39" s="208">
        <f t="shared" si="14"/>
        <v>71.650000000000006</v>
      </c>
      <c r="K39" s="209">
        <v>0.33438187057943186</v>
      </c>
      <c r="L39" s="210" t="s">
        <v>255</v>
      </c>
      <c r="M39" s="211" t="s">
        <v>256</v>
      </c>
      <c r="N39" s="211" t="s">
        <v>257</v>
      </c>
      <c r="O39" s="18" t="s">
        <v>292</v>
      </c>
      <c r="Q39" s="27">
        <v>3.5</v>
      </c>
      <c r="R39" s="213">
        <f t="shared" si="15"/>
        <v>1.1703365470280116</v>
      </c>
      <c r="S39" s="117"/>
    </row>
    <row r="40" spans="1:19" ht="21.5" thickBot="1">
      <c r="A40" s="215" t="s">
        <v>119</v>
      </c>
      <c r="B40" s="216">
        <f>COUNT(E35:E39)</f>
        <v>5</v>
      </c>
      <c r="C40" s="217"/>
      <c r="D40" s="218" t="s">
        <v>241</v>
      </c>
      <c r="E40" s="219">
        <f t="shared" si="10"/>
        <v>1.7244042465940674</v>
      </c>
      <c r="F40" s="220" t="str">
        <f t="shared" si="11"/>
        <v>1509 / 10972</v>
      </c>
      <c r="G40" s="221">
        <f t="shared" si="12"/>
        <v>7.9738608141193879E-2</v>
      </c>
      <c r="H40" s="220" t="str">
        <f t="shared" si="13"/>
        <v>1624 / 10975</v>
      </c>
      <c r="I40" s="221">
        <f t="shared" si="14"/>
        <v>8.5829802602024177E-2</v>
      </c>
      <c r="J40" s="219">
        <f t="shared" si="14"/>
        <v>69.623440561352339</v>
      </c>
      <c r="K40" s="222">
        <v>1</v>
      </c>
      <c r="L40" s="524" t="s">
        <v>234</v>
      </c>
      <c r="M40" s="223"/>
      <c r="N40" s="224"/>
      <c r="O40" s="494" t="s">
        <v>294</v>
      </c>
      <c r="R40" s="225">
        <f>SUM(R35:R39)</f>
        <v>3.4783342710135412</v>
      </c>
      <c r="S40" s="117"/>
    </row>
    <row r="41" spans="1:19" ht="21.5" customHeight="1" thickBot="1">
      <c r="A41" s="226"/>
      <c r="B41" s="226"/>
      <c r="C41" s="227"/>
      <c r="D41" s="489" t="s">
        <v>224</v>
      </c>
      <c r="E41" s="229"/>
      <c r="F41" s="230"/>
      <c r="G41" s="231"/>
      <c r="H41" s="230"/>
      <c r="I41" s="232"/>
      <c r="J41" s="233"/>
      <c r="K41" s="490"/>
      <c r="L41" s="491"/>
      <c r="M41" s="492"/>
      <c r="N41" s="608" t="s">
        <v>225</v>
      </c>
      <c r="O41" s="493" t="s">
        <v>293</v>
      </c>
    </row>
    <row r="42" spans="1:19" ht="13.5" thickBot="1">
      <c r="A42" s="226"/>
      <c r="B42" s="226"/>
      <c r="C42" s="227"/>
      <c r="D42" s="228"/>
      <c r="E42" s="229"/>
      <c r="F42" s="230"/>
      <c r="G42" s="231"/>
      <c r="H42" s="230"/>
      <c r="I42" s="232"/>
      <c r="J42" s="233"/>
      <c r="K42" s="234"/>
      <c r="L42" s="223"/>
      <c r="M42" s="224"/>
      <c r="N42" s="224"/>
      <c r="O42" s="234"/>
    </row>
    <row r="43" spans="1:19" ht="47" thickBot="1">
      <c r="A43" s="235"/>
      <c r="B43" s="628" t="s">
        <v>120</v>
      </c>
      <c r="C43" s="629"/>
      <c r="D43" s="629"/>
      <c r="E43" s="629"/>
      <c r="F43" s="629"/>
      <c r="G43" s="629"/>
      <c r="H43" s="629"/>
      <c r="I43" s="630"/>
      <c r="J43" s="236" t="s">
        <v>121</v>
      </c>
      <c r="K43" s="237" t="s">
        <v>122</v>
      </c>
      <c r="L43" s="238" t="s">
        <v>116</v>
      </c>
      <c r="M43" s="239" t="s">
        <v>92</v>
      </c>
      <c r="N43" s="240" t="s">
        <v>93</v>
      </c>
      <c r="O43" s="224"/>
    </row>
    <row r="44" spans="1:19" ht="19.5" customHeight="1">
      <c r="A44" s="631" t="s">
        <v>123</v>
      </c>
      <c r="B44" s="241" t="s">
        <v>124</v>
      </c>
      <c r="C44" s="242">
        <f>I40</f>
        <v>8.5829802602024177E-2</v>
      </c>
      <c r="D44" s="243" t="s">
        <v>125</v>
      </c>
      <c r="E44" s="243"/>
      <c r="F44" s="243"/>
      <c r="G44" s="243"/>
      <c r="H44" s="244">
        <f>J40</f>
        <v>69.623440561352339</v>
      </c>
      <c r="I44" s="245" t="s">
        <v>126</v>
      </c>
      <c r="J44" s="246">
        <v>7.9799999999999996E-2</v>
      </c>
      <c r="K44" s="247">
        <v>8.5800000000000001E-2</v>
      </c>
      <c r="L44" s="525" t="s">
        <v>234</v>
      </c>
      <c r="M44" s="248" t="s">
        <v>235</v>
      </c>
      <c r="N44" s="248" t="s">
        <v>236</v>
      </c>
      <c r="O44" s="249" t="s">
        <v>127</v>
      </c>
    </row>
    <row r="45" spans="1:19" ht="19" thickBot="1">
      <c r="A45" s="632"/>
      <c r="B45" s="250" t="s">
        <v>124</v>
      </c>
      <c r="C45" s="251">
        <f>I40*E40</f>
        <v>0.14800527609126102</v>
      </c>
      <c r="D45" s="252" t="s">
        <v>128</v>
      </c>
      <c r="E45" s="253"/>
      <c r="F45" s="254"/>
      <c r="G45" s="255">
        <f>E40</f>
        <v>1.7244042465940674</v>
      </c>
      <c r="H45" s="252" t="s">
        <v>129</v>
      </c>
      <c r="I45" s="256"/>
      <c r="J45" s="257">
        <v>0.1376</v>
      </c>
      <c r="K45" s="258">
        <v>0.14799999999999999</v>
      </c>
      <c r="L45" s="526" t="s">
        <v>234</v>
      </c>
      <c r="M45" s="259" t="s">
        <v>237</v>
      </c>
      <c r="N45" s="259" t="s">
        <v>238</v>
      </c>
      <c r="O45" s="260" t="s">
        <v>239</v>
      </c>
      <c r="P45" s="15" t="s">
        <v>295</v>
      </c>
    </row>
    <row r="46" spans="1:19" ht="19" thickBot="1">
      <c r="A46" s="261"/>
      <c r="B46" s="262"/>
      <c r="C46" s="263"/>
      <c r="D46" s="264"/>
      <c r="E46" s="265"/>
      <c r="F46" s="266"/>
      <c r="G46" s="267"/>
      <c r="H46" s="264"/>
      <c r="I46" s="266"/>
      <c r="J46" s="268"/>
      <c r="K46" s="268"/>
      <c r="L46" s="269"/>
      <c r="M46" s="270"/>
      <c r="N46" s="270"/>
      <c r="O46" s="271"/>
    </row>
    <row r="47" spans="1:19" ht="19" thickBot="1">
      <c r="A47" s="272"/>
      <c r="B47" s="272"/>
      <c r="C47" s="234"/>
      <c r="D47" s="234"/>
      <c r="E47" s="234"/>
      <c r="F47" s="234"/>
      <c r="G47" s="234"/>
      <c r="H47" s="234"/>
      <c r="I47" s="273"/>
      <c r="J47" s="274"/>
      <c r="K47" s="275" t="s">
        <v>130</v>
      </c>
      <c r="L47" s="530" t="s">
        <v>484</v>
      </c>
      <c r="M47" s="276"/>
      <c r="N47" s="277"/>
      <c r="O47" s="278"/>
    </row>
    <row r="48" spans="1:19">
      <c r="A48" s="112"/>
      <c r="C48" s="1"/>
      <c r="I48" s="109" t="s">
        <v>131</v>
      </c>
      <c r="J48" s="279">
        <f>G45</f>
        <v>1.7244042465940674</v>
      </c>
      <c r="K48" s="279">
        <f>J48</f>
        <v>1.7244042465940674</v>
      </c>
    </row>
    <row r="49" spans="1:14">
      <c r="A49" s="112"/>
      <c r="C49" s="1"/>
      <c r="I49" s="15"/>
      <c r="J49" s="3" t="s">
        <v>81</v>
      </c>
      <c r="K49" s="3" t="s">
        <v>82</v>
      </c>
      <c r="L49" s="3" t="s">
        <v>132</v>
      </c>
    </row>
    <row r="50" spans="1:14" ht="17">
      <c r="I50" s="280" t="s">
        <v>263</v>
      </c>
      <c r="J50" s="528">
        <f>J44*100*J48</f>
        <v>13.760745887820658</v>
      </c>
      <c r="K50" s="529">
        <f>K44*100*K48</f>
        <v>14.795388435777099</v>
      </c>
      <c r="L50" s="527">
        <f>((J50*I10)+(K50*J10))/K10</f>
        <v>14.278023875700551</v>
      </c>
      <c r="M50" s="281"/>
      <c r="N50" s="281"/>
    </row>
    <row r="51" spans="1:14">
      <c r="B51" s="1"/>
      <c r="C51" s="1"/>
    </row>
    <row r="52" spans="1:14">
      <c r="B52" s="1"/>
      <c r="C52" s="1"/>
    </row>
    <row r="53" spans="1:14">
      <c r="B53" s="1"/>
      <c r="C53" s="1"/>
    </row>
    <row r="54" spans="1:14">
      <c r="B54" s="1"/>
      <c r="C54" s="1"/>
    </row>
    <row r="55" spans="1:14">
      <c r="B55" s="1"/>
      <c r="C55" s="1"/>
    </row>
    <row r="56" spans="1:14">
      <c r="B56" s="1"/>
      <c r="C56" s="1"/>
    </row>
    <row r="57" spans="1:14">
      <c r="B57" s="1"/>
      <c r="C57" s="1"/>
    </row>
    <row r="58" spans="1:14">
      <c r="B58" s="1"/>
      <c r="C58" s="1"/>
    </row>
    <row r="59" spans="1:14">
      <c r="B59" s="1"/>
      <c r="C59" s="1"/>
    </row>
    <row r="60" spans="1:14">
      <c r="B60" s="1"/>
      <c r="C60" s="1"/>
    </row>
    <row r="61" spans="1:14">
      <c r="B61" s="1"/>
      <c r="C61" s="1"/>
    </row>
    <row r="62" spans="1:14">
      <c r="B62" s="1"/>
      <c r="C62" s="1"/>
    </row>
    <row r="63" spans="1:14">
      <c r="B63" s="1"/>
      <c r="C63" s="1"/>
    </row>
    <row r="64" spans="1:14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</sheetData>
  <mergeCells count="19">
    <mergeCell ref="B3:D3"/>
    <mergeCell ref="E3:G3"/>
    <mergeCell ref="I3:K3"/>
    <mergeCell ref="L3:M3"/>
    <mergeCell ref="D12:F12"/>
    <mergeCell ref="L33:O33"/>
    <mergeCell ref="B43:I43"/>
    <mergeCell ref="A44:A45"/>
    <mergeCell ref="F33:F34"/>
    <mergeCell ref="G33:G34"/>
    <mergeCell ref="H33:H34"/>
    <mergeCell ref="I33:I34"/>
    <mergeCell ref="J33:J34"/>
    <mergeCell ref="K33:K34"/>
    <mergeCell ref="A33:A34"/>
    <mergeCell ref="B33:B34"/>
    <mergeCell ref="C33:C34"/>
    <mergeCell ref="D33:D34"/>
    <mergeCell ref="E33:E34"/>
  </mergeCells>
  <pageMargins left="0.7" right="0.7" top="0.75" bottom="0.75" header="0.3" footer="0.3"/>
  <pageSetup paperSize="9" orientation="portrait" r:id="rId1"/>
  <ignoredErrors>
    <ignoredError sqref="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1CEF-911A-498C-969F-33D8B47B4609}">
  <dimension ref="A1:S69"/>
  <sheetViews>
    <sheetView zoomScale="70" zoomScaleNormal="70" workbookViewId="0"/>
  </sheetViews>
  <sheetFormatPr baseColWidth="10" defaultColWidth="16" defaultRowHeight="13"/>
  <cols>
    <col min="1" max="1" width="22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Mortalidad por causa cardiovascular [+ - FEVIr, + - DM2], en 21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38" customHeight="1">
      <c r="A4" s="512" t="s">
        <v>381</v>
      </c>
      <c r="B4" s="16" t="s">
        <v>9</v>
      </c>
      <c r="C4" s="16" t="s">
        <v>10</v>
      </c>
      <c r="D4" s="16" t="s">
        <v>11</v>
      </c>
      <c r="E4" s="16" t="s">
        <v>9</v>
      </c>
      <c r="F4" s="16" t="s">
        <v>10</v>
      </c>
      <c r="G4" s="16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29" t="s">
        <v>231</v>
      </c>
      <c r="B5" s="30">
        <v>227</v>
      </c>
      <c r="C5" s="31">
        <f>D5-B5</f>
        <v>2146</v>
      </c>
      <c r="D5" s="32">
        <v>2373</v>
      </c>
      <c r="E5" s="30">
        <v>273</v>
      </c>
      <c r="F5" s="31">
        <f>G5-E5</f>
        <v>2098</v>
      </c>
      <c r="G5" s="32">
        <v>2371</v>
      </c>
      <c r="H5" s="522">
        <v>1.4166666666666667</v>
      </c>
      <c r="I5" s="132">
        <f t="shared" ref="I5:I9" si="0">D5*H5</f>
        <v>3361.75</v>
      </c>
      <c r="J5" s="132">
        <f t="shared" ref="J5:J9" si="1">G5*H5</f>
        <v>3358.916666666667</v>
      </c>
      <c r="K5" s="132">
        <f>I5+J5</f>
        <v>6720.666666666667</v>
      </c>
      <c r="L5" s="133">
        <f t="shared" ref="L5:L10" si="2">B5/I5</f>
        <v>6.7524354874693243E-2</v>
      </c>
      <c r="M5" s="133">
        <f t="shared" ref="M5:M10" si="3">E5/J5</f>
        <v>8.1276205125660542E-2</v>
      </c>
      <c r="N5" s="134">
        <v>66.349999999999994</v>
      </c>
      <c r="O5" s="615">
        <f>N5*(D5+G5)</f>
        <v>314764.39999999997</v>
      </c>
      <c r="P5" s="613" t="str">
        <f t="shared" ref="P5:P10" si="4">CONCATENATE(B5," ",$P$4," ",D5)</f>
        <v>227 / 2373</v>
      </c>
      <c r="Q5" s="613" t="str">
        <f t="shared" ref="Q5:Q10" si="5">CONCATENATE(E5," ",$Q$4," ",G5)</f>
        <v>273 / 2371</v>
      </c>
    </row>
    <row r="6" spans="1:19">
      <c r="A6" s="29" t="s">
        <v>230</v>
      </c>
      <c r="B6" s="30">
        <v>187</v>
      </c>
      <c r="C6" s="31">
        <f t="shared" ref="C6:C9" si="6">D6-B6</f>
        <v>1676</v>
      </c>
      <c r="D6" s="32">
        <v>1863</v>
      </c>
      <c r="E6" s="30">
        <v>202</v>
      </c>
      <c r="F6" s="31">
        <f t="shared" ref="F6:F9" si="7">G6-E6</f>
        <v>1665</v>
      </c>
      <c r="G6" s="32">
        <v>1867</v>
      </c>
      <c r="H6" s="522">
        <v>1.25</v>
      </c>
      <c r="I6" s="132">
        <f t="shared" si="0"/>
        <v>2328.75</v>
      </c>
      <c r="J6" s="132">
        <f t="shared" si="1"/>
        <v>2333.75</v>
      </c>
      <c r="K6" s="132">
        <f t="shared" ref="K6:K9" si="8">I6+J6</f>
        <v>4662.5</v>
      </c>
      <c r="L6" s="133">
        <f t="shared" si="2"/>
        <v>8.0300590445517989E-2</v>
      </c>
      <c r="M6" s="133">
        <f t="shared" si="3"/>
        <v>8.6555972147830743E-2</v>
      </c>
      <c r="N6" s="134">
        <v>66.849999999999994</v>
      </c>
      <c r="O6" s="615">
        <f t="shared" ref="O6:O9" si="9">N6*(D6+G6)</f>
        <v>249350.49999999997</v>
      </c>
      <c r="P6" s="613" t="str">
        <f t="shared" si="4"/>
        <v>187 / 1863</v>
      </c>
      <c r="Q6" s="613" t="str">
        <f t="shared" si="5"/>
        <v>202 / 1867</v>
      </c>
    </row>
    <row r="7" spans="1:19">
      <c r="A7" s="29" t="s">
        <v>296</v>
      </c>
      <c r="B7" s="30">
        <v>51</v>
      </c>
      <c r="C7" s="31">
        <f t="shared" si="6"/>
        <v>557</v>
      </c>
      <c r="D7" s="32">
        <v>608</v>
      </c>
      <c r="E7" s="30">
        <v>58</v>
      </c>
      <c r="F7" s="31">
        <f t="shared" si="7"/>
        <v>556</v>
      </c>
      <c r="G7" s="32">
        <v>614</v>
      </c>
      <c r="H7" s="522">
        <v>0.75</v>
      </c>
      <c r="I7" s="132">
        <f t="shared" si="0"/>
        <v>456</v>
      </c>
      <c r="J7" s="132">
        <f t="shared" si="1"/>
        <v>460.5</v>
      </c>
      <c r="K7" s="132">
        <f t="shared" si="8"/>
        <v>916.5</v>
      </c>
      <c r="L7" s="133">
        <f t="shared" si="2"/>
        <v>0.1118421052631579</v>
      </c>
      <c r="M7" s="133">
        <f t="shared" si="3"/>
        <v>0.1259500542888165</v>
      </c>
      <c r="N7" s="134">
        <v>69.5</v>
      </c>
      <c r="O7" s="615">
        <f t="shared" si="9"/>
        <v>84929</v>
      </c>
      <c r="P7" s="613" t="str">
        <f t="shared" si="4"/>
        <v>51 / 608</v>
      </c>
      <c r="Q7" s="613" t="str">
        <f t="shared" si="5"/>
        <v>58 / 614</v>
      </c>
    </row>
    <row r="8" spans="1:19">
      <c r="A8" s="29" t="s">
        <v>370</v>
      </c>
      <c r="B8" s="30">
        <v>219</v>
      </c>
      <c r="C8" s="31">
        <f t="shared" si="6"/>
        <v>2778</v>
      </c>
      <c r="D8" s="32">
        <v>2997</v>
      </c>
      <c r="E8" s="30">
        <v>244</v>
      </c>
      <c r="F8" s="31">
        <f t="shared" si="7"/>
        <v>2747</v>
      </c>
      <c r="G8" s="32">
        <v>2991</v>
      </c>
      <c r="H8" s="522">
        <v>2</v>
      </c>
      <c r="I8" s="132">
        <f t="shared" si="0"/>
        <v>5994</v>
      </c>
      <c r="J8" s="132">
        <f t="shared" si="1"/>
        <v>5982</v>
      </c>
      <c r="K8" s="132">
        <f t="shared" si="8"/>
        <v>11976</v>
      </c>
      <c r="L8" s="133">
        <f t="shared" si="2"/>
        <v>3.6536536536536539E-2</v>
      </c>
      <c r="M8" s="133">
        <f t="shared" si="3"/>
        <v>4.0789033767970578E-2</v>
      </c>
      <c r="N8" s="134">
        <v>71.849999999999994</v>
      </c>
      <c r="O8" s="615">
        <f t="shared" si="9"/>
        <v>430237.8</v>
      </c>
      <c r="P8" s="613" t="str">
        <f t="shared" si="4"/>
        <v>219 / 2997</v>
      </c>
      <c r="Q8" s="613" t="str">
        <f t="shared" si="5"/>
        <v>244 / 2991</v>
      </c>
    </row>
    <row r="9" spans="1:19">
      <c r="A9" s="29" t="s">
        <v>232</v>
      </c>
      <c r="B9" s="30">
        <v>231</v>
      </c>
      <c r="C9" s="31">
        <f t="shared" si="6"/>
        <v>2900</v>
      </c>
      <c r="D9" s="32">
        <v>3131</v>
      </c>
      <c r="E9" s="30">
        <v>261</v>
      </c>
      <c r="F9" s="31">
        <f t="shared" si="7"/>
        <v>2871</v>
      </c>
      <c r="G9" s="32">
        <v>3132</v>
      </c>
      <c r="H9" s="522">
        <v>2.1666666666666665</v>
      </c>
      <c r="I9" s="132">
        <f t="shared" si="0"/>
        <v>6783.833333333333</v>
      </c>
      <c r="J9" s="132">
        <f t="shared" si="1"/>
        <v>6785.9999999999991</v>
      </c>
      <c r="K9" s="132">
        <f t="shared" si="8"/>
        <v>13569.833333333332</v>
      </c>
      <c r="L9" s="133">
        <f t="shared" si="2"/>
        <v>3.4051544112227598E-2</v>
      </c>
      <c r="M9" s="133">
        <f t="shared" si="3"/>
        <v>3.8461538461538464E-2</v>
      </c>
      <c r="N9" s="134">
        <v>71.650000000000006</v>
      </c>
      <c r="O9" s="615">
        <f t="shared" si="9"/>
        <v>448743.95</v>
      </c>
      <c r="P9" s="613" t="str">
        <f t="shared" si="4"/>
        <v>231 / 3131</v>
      </c>
      <c r="Q9" s="613" t="str">
        <f t="shared" si="5"/>
        <v>261 / 3132</v>
      </c>
    </row>
    <row r="10" spans="1:19">
      <c r="A10" s="518">
        <f>COUNT(D5:D9)</f>
        <v>5</v>
      </c>
      <c r="B10" s="136">
        <f>SUM(B5:B9)</f>
        <v>915</v>
      </c>
      <c r="C10" s="137"/>
      <c r="D10" s="136">
        <f>SUM(D5:D9)</f>
        <v>10972</v>
      </c>
      <c r="E10" s="136">
        <f>SUM(E5:E9)</f>
        <v>1038</v>
      </c>
      <c r="F10" s="137"/>
      <c r="G10" s="136">
        <f>SUM(G5:G9)</f>
        <v>10975</v>
      </c>
      <c r="H10" s="523">
        <f>K10/(D10+G10)</f>
        <v>1.7244042465940674</v>
      </c>
      <c r="I10" s="138">
        <f>SUM(I5:I9)</f>
        <v>18924.333333333332</v>
      </c>
      <c r="J10" s="138">
        <f>SUM(J5:J9)</f>
        <v>18921.166666666668</v>
      </c>
      <c r="K10" s="138">
        <f>SUM(K5:K9)</f>
        <v>37845.5</v>
      </c>
      <c r="L10" s="139">
        <f t="shared" si="2"/>
        <v>4.8350448276469449E-2</v>
      </c>
      <c r="M10" s="139">
        <f t="shared" si="3"/>
        <v>5.4859196490702651E-2</v>
      </c>
      <c r="N10" s="140">
        <f>O10/(D10+G10)</f>
        <v>69.623440561352339</v>
      </c>
      <c r="O10" s="616">
        <f>SUM(O5:O9)</f>
        <v>1528025.65</v>
      </c>
      <c r="P10" s="617" t="str">
        <f t="shared" si="4"/>
        <v>915 / 10972</v>
      </c>
      <c r="Q10" s="617" t="str">
        <f t="shared" si="5"/>
        <v>1038 / 10975</v>
      </c>
    </row>
    <row r="11" spans="1:19" ht="15" thickBot="1">
      <c r="B11" s="1"/>
      <c r="C11" s="1"/>
      <c r="E11" s="141"/>
      <c r="F11" s="11"/>
      <c r="S11" s="117"/>
    </row>
    <row r="12" spans="1:19" ht="15" thickBot="1">
      <c r="B12" s="142" t="s">
        <v>85</v>
      </c>
      <c r="C12" s="143">
        <v>9.459943139330601E-2</v>
      </c>
      <c r="D12" s="644" t="s">
        <v>86</v>
      </c>
      <c r="E12" s="645"/>
      <c r="F12" s="646"/>
      <c r="S12" s="117"/>
    </row>
    <row r="13" spans="1:19" ht="26.5" thickBot="1">
      <c r="A13" s="144">
        <f>I40</f>
        <v>5.4859196490702651E-2</v>
      </c>
      <c r="B13" s="121" t="s">
        <v>87</v>
      </c>
      <c r="C13" s="15"/>
      <c r="D13" s="145" t="s">
        <v>88</v>
      </c>
      <c r="E13" s="146" t="s">
        <v>89</v>
      </c>
      <c r="F13" s="145" t="s">
        <v>90</v>
      </c>
      <c r="S13" s="117"/>
    </row>
    <row r="14" spans="1:19" ht="15" thickBot="1">
      <c r="A14" s="147">
        <f>E40</f>
        <v>1.7244042465940674</v>
      </c>
      <c r="B14" s="148" t="s">
        <v>91</v>
      </c>
      <c r="C14" s="15"/>
      <c r="D14" s="149">
        <v>0.88173593770105574</v>
      </c>
      <c r="E14" s="150">
        <v>0.81007188907941907</v>
      </c>
      <c r="F14" s="151">
        <v>0.95974133327509903</v>
      </c>
      <c r="G14" s="15"/>
      <c r="S14" s="117"/>
    </row>
    <row r="15" spans="1:19" ht="14.5" hidden="1">
      <c r="A15" s="152"/>
      <c r="B15" s="153"/>
      <c r="C15" s="1"/>
      <c r="S15" s="117"/>
    </row>
    <row r="16" spans="1:19" ht="15" hidden="1" thickBot="1">
      <c r="A16" s="152"/>
      <c r="B16" s="154"/>
      <c r="C16" s="155"/>
      <c r="D16" s="156">
        <f>C12*D14</f>
        <v>8.3411718345563365E-2</v>
      </c>
      <c r="E16" s="157">
        <f>C12*E14</f>
        <v>7.6632340094614296E-2</v>
      </c>
      <c r="F16" s="158">
        <f>C12*F14</f>
        <v>9.0790984412477765E-2</v>
      </c>
      <c r="S16" s="117"/>
    </row>
    <row r="17" spans="1:19" ht="14.5" hidden="1">
      <c r="A17" s="152"/>
      <c r="B17" s="153"/>
      <c r="C17" s="1"/>
      <c r="S17" s="117"/>
    </row>
    <row r="18" spans="1:19" ht="15" hidden="1" thickBot="1">
      <c r="A18" s="152"/>
      <c r="B18" s="159"/>
      <c r="C18" s="160" t="s">
        <v>92</v>
      </c>
      <c r="D18" s="161">
        <f>C12-D16</f>
        <v>1.1187713047742645E-2</v>
      </c>
      <c r="E18" s="162">
        <f>C12-F16</f>
        <v>3.8084469808282451E-3</v>
      </c>
      <c r="F18" s="163">
        <f>C12-E16</f>
        <v>1.7967091298691715E-2</v>
      </c>
      <c r="S18" s="117"/>
    </row>
    <row r="19" spans="1:19" ht="15" hidden="1" thickBot="1">
      <c r="A19" s="152"/>
      <c r="B19" s="164"/>
      <c r="C19" s="165" t="s">
        <v>93</v>
      </c>
      <c r="D19" s="166">
        <f>1/D18</f>
        <v>89.383772691754089</v>
      </c>
      <c r="E19" s="167">
        <f>1/F18</f>
        <v>55.657311658054283</v>
      </c>
      <c r="F19" s="168">
        <f>1/E18</f>
        <v>262.57422120722924</v>
      </c>
      <c r="S19" s="117"/>
    </row>
    <row r="20" spans="1:19" ht="14.5" hidden="1">
      <c r="A20" s="152"/>
      <c r="B20" s="153"/>
      <c r="C20" s="15"/>
      <c r="D20" s="15"/>
      <c r="E20" s="15"/>
      <c r="F20" s="15"/>
      <c r="S20" s="117"/>
    </row>
    <row r="21" spans="1:19" ht="14.5" hidden="1">
      <c r="A21" s="152"/>
      <c r="B21" s="169" t="s">
        <v>94</v>
      </c>
      <c r="C21" s="170"/>
      <c r="D21" s="170"/>
      <c r="E21" s="171">
        <f>ROUND(D14,2)</f>
        <v>0.88</v>
      </c>
      <c r="F21" s="172">
        <f>ROUND(D18,4)</f>
        <v>1.12E-2</v>
      </c>
      <c r="G21" s="173">
        <f>ROUND(D19,0)</f>
        <v>89</v>
      </c>
      <c r="S21" s="117"/>
    </row>
    <row r="22" spans="1:19" ht="14.5" hidden="1">
      <c r="A22" s="152"/>
      <c r="B22" s="174" t="s">
        <v>95</v>
      </c>
      <c r="C22" s="175">
        <f>ROUND(D16,4)</f>
        <v>8.3400000000000002E-2</v>
      </c>
      <c r="D22" s="176">
        <f>ROUND(C12,4)</f>
        <v>9.4600000000000004E-2</v>
      </c>
      <c r="E22" s="177">
        <f>ROUND(E14,2)</f>
        <v>0.81</v>
      </c>
      <c r="F22" s="178">
        <f>ROUND(E18,4)</f>
        <v>3.8E-3</v>
      </c>
      <c r="G22" s="179">
        <f>ROUND(E19,0)</f>
        <v>56</v>
      </c>
      <c r="S22" s="117"/>
    </row>
    <row r="23" spans="1:19" ht="14.5" hidden="1">
      <c r="A23" s="152"/>
      <c r="B23" s="174" t="s">
        <v>96</v>
      </c>
      <c r="C23" s="180"/>
      <c r="D23" s="180"/>
      <c r="E23" s="177">
        <f>ROUND(F14,2)</f>
        <v>0.96</v>
      </c>
      <c r="F23" s="178">
        <f>ROUND(F18,4)</f>
        <v>1.7999999999999999E-2</v>
      </c>
      <c r="G23" s="179">
        <f>ROUND(F19,0)</f>
        <v>263</v>
      </c>
      <c r="S23" s="117"/>
    </row>
    <row r="24" spans="1:19" ht="14.5" hidden="1">
      <c r="A24" s="152"/>
      <c r="B24" s="174" t="s">
        <v>97</v>
      </c>
      <c r="C24" s="181" t="s">
        <v>98</v>
      </c>
      <c r="D24" s="181" t="s">
        <v>99</v>
      </c>
      <c r="E24" s="182" t="s">
        <v>100</v>
      </c>
      <c r="F24" s="182" t="s">
        <v>101</v>
      </c>
      <c r="G24" s="181" t="s">
        <v>93</v>
      </c>
      <c r="S24" s="117"/>
    </row>
    <row r="25" spans="1:19" ht="14.5" hidden="1">
      <c r="A25" s="152"/>
      <c r="B25" s="183" t="s">
        <v>102</v>
      </c>
      <c r="C25" s="181" t="str">
        <f>CONCATENATE(C22*100,B24)</f>
        <v>8,34%</v>
      </c>
      <c r="D25" s="181" t="str">
        <f>CONCATENATE(D22*100,B24)</f>
        <v>9,46%</v>
      </c>
      <c r="E25" s="181" t="str">
        <f>CONCATENATE(E21," ",B21,E22,B22,E23,B23)</f>
        <v>0,88 (0,81-0,96)</v>
      </c>
      <c r="F25" s="181" t="str">
        <f>CONCATENATE(F21*100,B24," ",B21,F22*100,B24," ",B25," ",F23*100,B24,B23)</f>
        <v>1,12% (0,38% a 1,8%)</v>
      </c>
      <c r="G25" s="181" t="str">
        <f>CONCATENATE(G21," ",B21,G22," ",B25," ",G23,B23)</f>
        <v>89 (56 a 263)</v>
      </c>
      <c r="S25" s="117"/>
    </row>
    <row r="26" spans="1:19" ht="14.5" hidden="1">
      <c r="A26" s="184"/>
      <c r="B26" s="153"/>
      <c r="D26" s="112"/>
      <c r="E26" s="112"/>
      <c r="F26" s="112"/>
      <c r="G26" s="112"/>
      <c r="S26" s="117"/>
    </row>
    <row r="27" spans="1:19" ht="15" thickBot="1">
      <c r="A27" s="144">
        <f>A13*A14</f>
        <v>9.459943139330601E-2</v>
      </c>
      <c r="B27" s="121" t="s">
        <v>103</v>
      </c>
      <c r="C27" s="1"/>
      <c r="S27" s="117"/>
    </row>
    <row r="28" spans="1:19" ht="15" thickBot="1">
      <c r="A28" s="185"/>
      <c r="B28" s="1"/>
      <c r="C28" s="186" t="s">
        <v>104</v>
      </c>
      <c r="D28" s="187" t="s">
        <v>99</v>
      </c>
      <c r="E28" s="187" t="s">
        <v>100</v>
      </c>
      <c r="F28" s="187" t="s">
        <v>92</v>
      </c>
      <c r="G28" s="188" t="s">
        <v>93</v>
      </c>
      <c r="S28" s="117"/>
    </row>
    <row r="29" spans="1:19" ht="26.5" thickBot="1">
      <c r="A29" s="189"/>
      <c r="B29" s="190"/>
      <c r="C29" s="191" t="str">
        <f>C25</f>
        <v>8,34%</v>
      </c>
      <c r="D29" s="192" t="str">
        <f>D25</f>
        <v>9,46%</v>
      </c>
      <c r="E29" s="192" t="str">
        <f>E25</f>
        <v>0,88 (0,81-0,96)</v>
      </c>
      <c r="F29" s="192" t="str">
        <f>F25</f>
        <v>1,12% (0,38% a 1,8%)</v>
      </c>
      <c r="G29" s="193" t="str">
        <f>G25</f>
        <v>89 (56 a 263)</v>
      </c>
      <c r="S29" s="117"/>
    </row>
    <row r="30" spans="1:19" ht="14.5">
      <c r="B30" s="1"/>
      <c r="C30" s="1"/>
      <c r="E30" s="141"/>
      <c r="F30" s="11"/>
      <c r="S30" s="117"/>
    </row>
    <row r="31" spans="1:19" ht="15" thickBot="1">
      <c r="D31" s="141"/>
      <c r="E31" s="141"/>
      <c r="S31" s="117"/>
    </row>
    <row r="32" spans="1:19" ht="30.5" customHeight="1" thickBot="1">
      <c r="A32" s="558" t="s">
        <v>390</v>
      </c>
      <c r="B32" s="194" t="str">
        <f>B2</f>
        <v>Mortalidad por causa cardiovascular [+ - FEVIr, + - DM2], en 21 meses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6"/>
      <c r="S32" s="117"/>
    </row>
    <row r="33" spans="1:19" ht="36" customHeight="1" thickBot="1">
      <c r="A33" s="637" t="s">
        <v>105</v>
      </c>
      <c r="B33" s="633" t="s">
        <v>106</v>
      </c>
      <c r="C33" s="639" t="s">
        <v>107</v>
      </c>
      <c r="D33" s="637" t="s">
        <v>233</v>
      </c>
      <c r="E33" s="633" t="s">
        <v>108</v>
      </c>
      <c r="F33" s="633" t="s">
        <v>109</v>
      </c>
      <c r="G33" s="633" t="s">
        <v>110</v>
      </c>
      <c r="H33" s="633" t="s">
        <v>111</v>
      </c>
      <c r="I33" s="633" t="s">
        <v>112</v>
      </c>
      <c r="J33" s="633" t="s">
        <v>113</v>
      </c>
      <c r="K33" s="635" t="s">
        <v>114</v>
      </c>
      <c r="L33" s="625" t="s">
        <v>115</v>
      </c>
      <c r="M33" s="626"/>
      <c r="N33" s="626"/>
      <c r="O33" s="627"/>
      <c r="S33" s="117"/>
    </row>
    <row r="34" spans="1:19" ht="43.5" customHeight="1" thickBot="1">
      <c r="A34" s="638"/>
      <c r="B34" s="634"/>
      <c r="C34" s="640"/>
      <c r="D34" s="638"/>
      <c r="E34" s="634"/>
      <c r="F34" s="634"/>
      <c r="G34" s="634"/>
      <c r="H34" s="634"/>
      <c r="I34" s="634"/>
      <c r="J34" s="634"/>
      <c r="K34" s="636"/>
      <c r="L34" s="197" t="s">
        <v>116</v>
      </c>
      <c r="M34" s="198" t="s">
        <v>92</v>
      </c>
      <c r="N34" s="199" t="s">
        <v>93</v>
      </c>
      <c r="O34" s="200" t="s">
        <v>117</v>
      </c>
      <c r="S34" s="117"/>
    </row>
    <row r="35" spans="1:19" ht="44.5" customHeight="1">
      <c r="A35" s="521">
        <v>9</v>
      </c>
      <c r="B35" s="201" t="str">
        <f>A5</f>
        <v>20191121-ECA DAPA-HF 17m, FEVI 31+42DM [Dapa vs Pl],-MACE. McMurray</v>
      </c>
      <c r="C35" s="202" t="s">
        <v>118</v>
      </c>
      <c r="D35" s="203"/>
      <c r="E35" s="204">
        <f t="shared" ref="E35:E40" si="10">H5</f>
        <v>1.4166666666666667</v>
      </c>
      <c r="F35" s="205" t="str">
        <f t="shared" ref="F35:F40" si="11">P5</f>
        <v>227 / 2373</v>
      </c>
      <c r="G35" s="206">
        <f t="shared" ref="G35:G40" si="12">L5</f>
        <v>6.7524354874693243E-2</v>
      </c>
      <c r="H35" s="205" t="str">
        <f t="shared" ref="H35:H40" si="13">Q5</f>
        <v>273 / 2371</v>
      </c>
      <c r="I35" s="207">
        <f t="shared" ref="I35:J40" si="14">M5</f>
        <v>8.1276205125660542E-2</v>
      </c>
      <c r="J35" s="208">
        <f t="shared" si="14"/>
        <v>66.349999999999994</v>
      </c>
      <c r="K35" s="209">
        <v>0.25890432572491817</v>
      </c>
      <c r="L35" s="210" t="s">
        <v>264</v>
      </c>
      <c r="M35" s="211" t="s">
        <v>265</v>
      </c>
      <c r="N35" s="212" t="s">
        <v>266</v>
      </c>
      <c r="O35" s="18" t="s">
        <v>292</v>
      </c>
      <c r="Q35" s="27">
        <v>3.5</v>
      </c>
      <c r="R35" s="213">
        <f>Q35*K35</f>
        <v>0.9061651400372136</v>
      </c>
      <c r="S35" s="117"/>
    </row>
    <row r="36" spans="1:19" ht="44.5" customHeight="1">
      <c r="A36" s="214"/>
      <c r="B36" s="201" t="str">
        <f>A6</f>
        <v>20201008-ECA EMPEROR-red 15m, FEVI 27+50DM [Empa vs Pl], -MACE. Packer</v>
      </c>
      <c r="C36" s="202" t="s">
        <v>118</v>
      </c>
      <c r="D36" s="203"/>
      <c r="E36" s="204">
        <f t="shared" si="10"/>
        <v>1.25</v>
      </c>
      <c r="F36" s="205" t="str">
        <f t="shared" si="11"/>
        <v>187 / 1863</v>
      </c>
      <c r="G36" s="206">
        <f t="shared" si="12"/>
        <v>8.0300590445517989E-2</v>
      </c>
      <c r="H36" s="205" t="str">
        <f t="shared" si="13"/>
        <v>202 / 1867</v>
      </c>
      <c r="I36" s="206">
        <f t="shared" si="14"/>
        <v>8.6555972147830743E-2</v>
      </c>
      <c r="J36" s="208">
        <f t="shared" si="14"/>
        <v>66.849999999999994</v>
      </c>
      <c r="K36" s="209">
        <v>0.20276124631299286</v>
      </c>
      <c r="L36" s="210" t="s">
        <v>267</v>
      </c>
      <c r="M36" s="211" t="s">
        <v>268</v>
      </c>
      <c r="N36" s="211" t="s">
        <v>269</v>
      </c>
      <c r="O36" s="18" t="s">
        <v>292</v>
      </c>
      <c r="Q36" s="27">
        <v>3.5</v>
      </c>
      <c r="R36" s="213">
        <f t="shared" ref="R36:R39" si="15">Q36*K36</f>
        <v>0.70966436209547501</v>
      </c>
      <c r="S36" s="117"/>
    </row>
    <row r="37" spans="1:19" ht="44.5" customHeight="1">
      <c r="A37" s="214"/>
      <c r="B37" s="201" t="str">
        <f>A7</f>
        <v>20210114-ECA SOLOIST 9m, FEVI 35+100DM [Sota vs Pl], -MortCV InsCar. Bhatt</v>
      </c>
      <c r="C37" s="202" t="s">
        <v>118</v>
      </c>
      <c r="D37" s="203"/>
      <c r="E37" s="204">
        <f t="shared" si="10"/>
        <v>0.75</v>
      </c>
      <c r="F37" s="205" t="str">
        <f t="shared" si="11"/>
        <v>51 / 608</v>
      </c>
      <c r="G37" s="206">
        <f t="shared" si="12"/>
        <v>0.1118421052631579</v>
      </c>
      <c r="H37" s="205" t="str">
        <f t="shared" si="13"/>
        <v>58 / 614</v>
      </c>
      <c r="I37" s="206">
        <f t="shared" si="14"/>
        <v>0.1259500542888165</v>
      </c>
      <c r="J37" s="208">
        <f t="shared" si="14"/>
        <v>69.5</v>
      </c>
      <c r="K37" s="209">
        <v>5.5713148330499243E-2</v>
      </c>
      <c r="L37" s="210" t="s">
        <v>270</v>
      </c>
      <c r="M37" s="211" t="s">
        <v>271</v>
      </c>
      <c r="N37" s="211" t="s">
        <v>272</v>
      </c>
      <c r="O37" s="565" t="s">
        <v>335</v>
      </c>
      <c r="P37" s="557"/>
      <c r="Q37" s="566">
        <v>3</v>
      </c>
      <c r="R37" s="213">
        <f t="shared" si="15"/>
        <v>0.16713944499149774</v>
      </c>
      <c r="S37" s="117"/>
    </row>
    <row r="38" spans="1:19" ht="44.5" customHeight="1">
      <c r="A38" s="214"/>
      <c r="B38" s="201" t="str">
        <f>A8</f>
        <v>20211014-ECA Emperor-Pres 24m, FEVI 54+50DM, [Empa vs Pl], -ICC. Anker</v>
      </c>
      <c r="C38" s="202" t="s">
        <v>118</v>
      </c>
      <c r="D38" s="203"/>
      <c r="E38" s="204">
        <f t="shared" si="10"/>
        <v>2</v>
      </c>
      <c r="F38" s="205" t="str">
        <f t="shared" si="11"/>
        <v>219 / 2997</v>
      </c>
      <c r="G38" s="206">
        <f t="shared" si="12"/>
        <v>3.6536536536536539E-2</v>
      </c>
      <c r="H38" s="205" t="str">
        <f t="shared" si="13"/>
        <v>244 / 2991</v>
      </c>
      <c r="I38" s="206">
        <f t="shared" si="14"/>
        <v>4.0789033767970578E-2</v>
      </c>
      <c r="J38" s="208">
        <f t="shared" si="14"/>
        <v>71.849999999999994</v>
      </c>
      <c r="K38" s="209">
        <v>0.23392721125576821</v>
      </c>
      <c r="L38" s="210" t="s">
        <v>273</v>
      </c>
      <c r="M38" s="211" t="s">
        <v>274</v>
      </c>
      <c r="N38" s="211" t="s">
        <v>275</v>
      </c>
      <c r="O38" s="18" t="s">
        <v>292</v>
      </c>
      <c r="Q38" s="27">
        <v>3.5</v>
      </c>
      <c r="R38" s="213">
        <f t="shared" si="15"/>
        <v>0.81874523939518873</v>
      </c>
      <c r="S38" s="117"/>
    </row>
    <row r="39" spans="1:19" ht="44.5" customHeight="1" thickBot="1">
      <c r="A39" s="214"/>
      <c r="B39" s="201" t="str">
        <f>A9</f>
        <v>20220922-ECA DELIVER 26m, FEVI 54+45DM, [Dapa vs Pl], -InsCar. Solomon</v>
      </c>
      <c r="C39" s="202" t="s">
        <v>118</v>
      </c>
      <c r="D39" s="203"/>
      <c r="E39" s="204">
        <f t="shared" si="10"/>
        <v>2.1666666666666665</v>
      </c>
      <c r="F39" s="205" t="str">
        <f t="shared" si="11"/>
        <v>231 / 3131</v>
      </c>
      <c r="G39" s="206">
        <f t="shared" si="12"/>
        <v>3.4051544112227598E-2</v>
      </c>
      <c r="H39" s="205" t="str">
        <f t="shared" si="13"/>
        <v>261 / 3132</v>
      </c>
      <c r="I39" s="206">
        <f t="shared" si="14"/>
        <v>3.8461538461538464E-2</v>
      </c>
      <c r="J39" s="208">
        <f t="shared" si="14"/>
        <v>71.650000000000006</v>
      </c>
      <c r="K39" s="209">
        <v>0.2486940683758215</v>
      </c>
      <c r="L39" s="210" t="s">
        <v>276</v>
      </c>
      <c r="M39" s="211" t="s">
        <v>277</v>
      </c>
      <c r="N39" s="211" t="s">
        <v>278</v>
      </c>
      <c r="O39" s="18" t="s">
        <v>292</v>
      </c>
      <c r="Q39" s="27">
        <v>3.5</v>
      </c>
      <c r="R39" s="213">
        <f t="shared" si="15"/>
        <v>0.8704292393153753</v>
      </c>
      <c r="S39" s="117"/>
    </row>
    <row r="40" spans="1:19" ht="21.5" thickBot="1">
      <c r="A40" s="215" t="s">
        <v>119</v>
      </c>
      <c r="B40" s="216">
        <f>COUNT(E35:E39)</f>
        <v>5</v>
      </c>
      <c r="C40" s="217"/>
      <c r="D40" s="218" t="s">
        <v>241</v>
      </c>
      <c r="E40" s="219">
        <f t="shared" si="10"/>
        <v>1.7244042465940674</v>
      </c>
      <c r="F40" s="220" t="str">
        <f t="shared" si="11"/>
        <v>915 / 10972</v>
      </c>
      <c r="G40" s="221">
        <f t="shared" si="12"/>
        <v>4.8350448276469449E-2</v>
      </c>
      <c r="H40" s="220" t="str">
        <f t="shared" si="13"/>
        <v>1038 / 10975</v>
      </c>
      <c r="I40" s="221">
        <f t="shared" si="14"/>
        <v>5.4859196490702651E-2</v>
      </c>
      <c r="J40" s="219">
        <f t="shared" si="14"/>
        <v>69.623440561352339</v>
      </c>
      <c r="K40" s="222">
        <v>1</v>
      </c>
      <c r="L40" s="524" t="s">
        <v>258</v>
      </c>
      <c r="M40" s="223"/>
      <c r="N40" s="224"/>
      <c r="O40" s="494" t="s">
        <v>294</v>
      </c>
      <c r="R40" s="225">
        <f>SUM(R35:R39)</f>
        <v>3.4721434258347501</v>
      </c>
      <c r="S40" s="117"/>
    </row>
    <row r="41" spans="1:19" ht="21.5" customHeight="1" thickBot="1">
      <c r="A41" s="226"/>
      <c r="B41" s="226"/>
      <c r="C41" s="227"/>
      <c r="D41" s="489" t="s">
        <v>224</v>
      </c>
      <c r="E41" s="229"/>
      <c r="F41" s="230"/>
      <c r="G41" s="231"/>
      <c r="H41" s="230"/>
      <c r="I41" s="232"/>
      <c r="J41" s="233"/>
      <c r="K41" s="490"/>
      <c r="L41" s="491"/>
      <c r="M41" s="492"/>
      <c r="N41" s="608" t="s">
        <v>225</v>
      </c>
      <c r="O41" s="493" t="s">
        <v>293</v>
      </c>
    </row>
    <row r="42" spans="1:19" ht="13.5" thickBot="1">
      <c r="A42" s="226"/>
      <c r="B42" s="226"/>
      <c r="C42" s="227"/>
      <c r="D42" s="228"/>
      <c r="E42" s="229"/>
      <c r="F42" s="230"/>
      <c r="G42" s="231"/>
      <c r="H42" s="230"/>
      <c r="I42" s="232"/>
      <c r="J42" s="233"/>
      <c r="K42" s="234"/>
      <c r="L42" s="223"/>
      <c r="M42" s="224"/>
      <c r="N42" s="224"/>
      <c r="O42" s="234"/>
    </row>
    <row r="43" spans="1:19" ht="47" thickBot="1">
      <c r="A43" s="235"/>
      <c r="B43" s="628" t="s">
        <v>120</v>
      </c>
      <c r="C43" s="629"/>
      <c r="D43" s="629"/>
      <c r="E43" s="629"/>
      <c r="F43" s="629"/>
      <c r="G43" s="629"/>
      <c r="H43" s="629"/>
      <c r="I43" s="630"/>
      <c r="J43" s="236" t="s">
        <v>121</v>
      </c>
      <c r="K43" s="237" t="s">
        <v>122</v>
      </c>
      <c r="L43" s="238" t="s">
        <v>116</v>
      </c>
      <c r="M43" s="239" t="s">
        <v>92</v>
      </c>
      <c r="N43" s="240" t="s">
        <v>93</v>
      </c>
      <c r="O43" s="224"/>
    </row>
    <row r="44" spans="1:19" ht="19.5" customHeight="1">
      <c r="A44" s="631" t="s">
        <v>123</v>
      </c>
      <c r="B44" s="241" t="s">
        <v>124</v>
      </c>
      <c r="C44" s="242">
        <f>I40</f>
        <v>5.4859196490702651E-2</v>
      </c>
      <c r="D44" s="243" t="s">
        <v>125</v>
      </c>
      <c r="E44" s="243"/>
      <c r="F44" s="243"/>
      <c r="G44" s="243"/>
      <c r="H44" s="244">
        <f>J40</f>
        <v>69.623440561352339</v>
      </c>
      <c r="I44" s="245" t="s">
        <v>126</v>
      </c>
      <c r="J44" s="246">
        <v>4.8399999999999999E-2</v>
      </c>
      <c r="K44" s="247">
        <v>5.4899999999999997E-2</v>
      </c>
      <c r="L44" s="525" t="s">
        <v>258</v>
      </c>
      <c r="M44" s="248" t="s">
        <v>259</v>
      </c>
      <c r="N44" s="248" t="s">
        <v>260</v>
      </c>
      <c r="O44" s="249" t="s">
        <v>127</v>
      </c>
    </row>
    <row r="45" spans="1:19" ht="19" thickBot="1">
      <c r="A45" s="632"/>
      <c r="B45" s="250" t="s">
        <v>124</v>
      </c>
      <c r="C45" s="251">
        <f>I40*E40</f>
        <v>9.459943139330601E-2</v>
      </c>
      <c r="D45" s="252" t="s">
        <v>128</v>
      </c>
      <c r="E45" s="253"/>
      <c r="F45" s="254"/>
      <c r="G45" s="255">
        <f>E40</f>
        <v>1.7244042465940674</v>
      </c>
      <c r="H45" s="252" t="s">
        <v>129</v>
      </c>
      <c r="I45" s="256"/>
      <c r="J45" s="257">
        <v>8.3400000000000002E-2</v>
      </c>
      <c r="K45" s="258">
        <v>9.4600000000000004E-2</v>
      </c>
      <c r="L45" s="526" t="s">
        <v>258</v>
      </c>
      <c r="M45" s="259" t="s">
        <v>261</v>
      </c>
      <c r="N45" s="259" t="s">
        <v>262</v>
      </c>
      <c r="O45" s="260" t="s">
        <v>239</v>
      </c>
      <c r="P45" s="15" t="s">
        <v>240</v>
      </c>
    </row>
    <row r="46" spans="1:19" ht="19" thickBot="1">
      <c r="A46" s="261"/>
      <c r="B46" s="262"/>
      <c r="C46" s="263"/>
      <c r="D46" s="264"/>
      <c r="E46" s="265"/>
      <c r="F46" s="266"/>
      <c r="G46" s="267"/>
      <c r="H46" s="264"/>
      <c r="I46" s="266"/>
      <c r="J46" s="268"/>
      <c r="K46" s="268"/>
      <c r="L46" s="269"/>
      <c r="M46" s="270"/>
      <c r="N46" s="270"/>
      <c r="O46" s="271"/>
    </row>
    <row r="47" spans="1:19" ht="19" thickBot="1">
      <c r="A47" s="272"/>
      <c r="B47" s="272"/>
      <c r="C47" s="234"/>
      <c r="D47" s="234"/>
      <c r="E47" s="234"/>
      <c r="F47" s="234"/>
      <c r="G47" s="234"/>
      <c r="H47" s="234"/>
      <c r="I47" s="273"/>
      <c r="J47" s="274"/>
      <c r="K47" s="275" t="s">
        <v>130</v>
      </c>
      <c r="L47" s="530" t="s">
        <v>242</v>
      </c>
      <c r="M47" s="276"/>
      <c r="N47" s="277"/>
      <c r="O47" s="278"/>
    </row>
    <row r="48" spans="1:19">
      <c r="A48" s="112"/>
      <c r="C48" s="1"/>
      <c r="I48" s="109" t="s">
        <v>131</v>
      </c>
      <c r="J48" s="279">
        <f>G45</f>
        <v>1.7244042465940674</v>
      </c>
      <c r="K48" s="279">
        <f>J48</f>
        <v>1.7244042465940674</v>
      </c>
    </row>
    <row r="49" spans="1:14">
      <c r="A49" s="112"/>
      <c r="C49" s="1"/>
      <c r="I49" s="15"/>
      <c r="J49" s="3" t="s">
        <v>81</v>
      </c>
      <c r="K49" s="3" t="s">
        <v>82</v>
      </c>
      <c r="L49" s="3" t="s">
        <v>132</v>
      </c>
    </row>
    <row r="50" spans="1:14" ht="17">
      <c r="I50" s="280" t="s">
        <v>263</v>
      </c>
      <c r="J50" s="528">
        <f>J44*100*J48</f>
        <v>8.3461165535152855</v>
      </c>
      <c r="K50" s="529">
        <f>K44*100*K48</f>
        <v>9.4669793138014295</v>
      </c>
      <c r="L50" s="527">
        <f>((J50*I10)+(K50*J10))/K10</f>
        <v>8.9065010403851694</v>
      </c>
      <c r="M50" s="281"/>
      <c r="N50" s="281"/>
    </row>
    <row r="51" spans="1:14">
      <c r="B51" s="1"/>
      <c r="C51" s="1"/>
    </row>
    <row r="52" spans="1:14">
      <c r="B52" s="1"/>
      <c r="C52" s="1"/>
    </row>
    <row r="53" spans="1:14">
      <c r="B53" s="1"/>
      <c r="C53" s="1"/>
    </row>
    <row r="54" spans="1:14">
      <c r="B54" s="1"/>
      <c r="C54" s="1"/>
    </row>
    <row r="55" spans="1:14">
      <c r="B55" s="1"/>
      <c r="C55" s="1"/>
    </row>
    <row r="56" spans="1:14">
      <c r="B56" s="1"/>
      <c r="C56" s="1"/>
    </row>
    <row r="57" spans="1:14">
      <c r="B57" s="1"/>
      <c r="C57" s="1"/>
    </row>
    <row r="58" spans="1:14">
      <c r="B58" s="1"/>
      <c r="C58" s="1"/>
    </row>
    <row r="59" spans="1:14">
      <c r="B59" s="1"/>
      <c r="C59" s="1"/>
    </row>
    <row r="60" spans="1:14">
      <c r="B60" s="1"/>
      <c r="C60" s="1"/>
    </row>
    <row r="61" spans="1:14">
      <c r="B61" s="1"/>
      <c r="C61" s="1"/>
    </row>
    <row r="62" spans="1:14">
      <c r="B62" s="1"/>
      <c r="C62" s="1"/>
    </row>
    <row r="63" spans="1:14">
      <c r="B63" s="1"/>
      <c r="C63" s="1"/>
    </row>
    <row r="64" spans="1:14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</sheetData>
  <mergeCells count="19">
    <mergeCell ref="L33:O33"/>
    <mergeCell ref="B43:I43"/>
    <mergeCell ref="A44:A45"/>
    <mergeCell ref="F33:F34"/>
    <mergeCell ref="G33:G34"/>
    <mergeCell ref="H33:H34"/>
    <mergeCell ref="I33:I34"/>
    <mergeCell ref="J33:J34"/>
    <mergeCell ref="K33:K34"/>
    <mergeCell ref="A33:A34"/>
    <mergeCell ref="B33:B34"/>
    <mergeCell ref="C33:C34"/>
    <mergeCell ref="D33:D34"/>
    <mergeCell ref="E33:E34"/>
    <mergeCell ref="B3:D3"/>
    <mergeCell ref="E3:G3"/>
    <mergeCell ref="I3:K3"/>
    <mergeCell ref="L3:M3"/>
    <mergeCell ref="D12:F12"/>
  </mergeCells>
  <pageMargins left="0.7" right="0.7" top="0.75" bottom="0.75" header="0.3" footer="0.3"/>
  <ignoredErrors>
    <ignoredError sqref="H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21C9-D7E8-467B-AA88-D5D9AA709718}">
  <dimension ref="A1:S67"/>
  <sheetViews>
    <sheetView zoomScale="70" zoomScaleNormal="70" workbookViewId="0"/>
  </sheetViews>
  <sheetFormatPr baseColWidth="10" defaultColWidth="16" defaultRowHeight="13"/>
  <cols>
    <col min="1" max="1" width="22.3632812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Hospitalización por Insuficiencia cardíaca [+ - FEVIr, + - DM2], en 21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46.5" customHeight="1">
      <c r="A4" s="512" t="s">
        <v>382</v>
      </c>
      <c r="B4" s="16" t="s">
        <v>9</v>
      </c>
      <c r="C4" s="16" t="s">
        <v>10</v>
      </c>
      <c r="D4" s="16" t="s">
        <v>11</v>
      </c>
      <c r="E4" s="16" t="s">
        <v>9</v>
      </c>
      <c r="F4" s="16" t="s">
        <v>10</v>
      </c>
      <c r="G4" s="16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29" t="s">
        <v>231</v>
      </c>
      <c r="B5" s="30">
        <v>231</v>
      </c>
      <c r="C5" s="31">
        <f>D5-B5</f>
        <v>2142</v>
      </c>
      <c r="D5" s="32">
        <v>2373</v>
      </c>
      <c r="E5" s="30">
        <v>318</v>
      </c>
      <c r="F5" s="31">
        <f>G5-E5</f>
        <v>2053</v>
      </c>
      <c r="G5" s="32">
        <v>2371</v>
      </c>
      <c r="H5" s="522">
        <v>1.4166666666666667</v>
      </c>
      <c r="I5" s="132">
        <f t="shared" ref="I5:I8" si="0">D5*H5</f>
        <v>3361.75</v>
      </c>
      <c r="J5" s="132">
        <f t="shared" ref="J5:J8" si="1">G5*H5</f>
        <v>3358.916666666667</v>
      </c>
      <c r="K5" s="132">
        <f>I5+J5</f>
        <v>6720.666666666667</v>
      </c>
      <c r="L5" s="133">
        <f t="shared" ref="L5:L9" si="2">B5/I5</f>
        <v>6.8714211348256116E-2</v>
      </c>
      <c r="M5" s="133">
        <f t="shared" ref="M5:M9" si="3">E5/J5</f>
        <v>9.4673381794725467E-2</v>
      </c>
      <c r="N5" s="134">
        <v>66.349999999999994</v>
      </c>
      <c r="O5" s="615">
        <f>N5*(D5+G5)</f>
        <v>314764.39999999997</v>
      </c>
      <c r="P5" s="613" t="str">
        <f t="shared" ref="P5:P9" si="4">CONCATENATE(B5," ",$P$4," ",D5)</f>
        <v>231 / 2373</v>
      </c>
      <c r="Q5" s="613" t="str">
        <f t="shared" ref="Q5:Q9" si="5">CONCATENATE(E5," ",$Q$4," ",G5)</f>
        <v>318 / 2371</v>
      </c>
    </row>
    <row r="6" spans="1:19">
      <c r="A6" s="29" t="s">
        <v>230</v>
      </c>
      <c r="B6" s="30">
        <v>246</v>
      </c>
      <c r="C6" s="31">
        <f t="shared" ref="C6:C8" si="6">D6-B6</f>
        <v>1617</v>
      </c>
      <c r="D6" s="32">
        <v>1863</v>
      </c>
      <c r="E6" s="30">
        <v>342</v>
      </c>
      <c r="F6" s="31">
        <f t="shared" ref="F6:F8" si="7">G6-E6</f>
        <v>1525</v>
      </c>
      <c r="G6" s="32">
        <v>1867</v>
      </c>
      <c r="H6" s="522">
        <v>1.25</v>
      </c>
      <c r="I6" s="132">
        <f t="shared" si="0"/>
        <v>2328.75</v>
      </c>
      <c r="J6" s="132">
        <f t="shared" si="1"/>
        <v>2333.75</v>
      </c>
      <c r="K6" s="132">
        <f t="shared" ref="K6:K8" si="8">I6+J6</f>
        <v>4662.5</v>
      </c>
      <c r="L6" s="133">
        <f t="shared" si="2"/>
        <v>0.10563607085346216</v>
      </c>
      <c r="M6" s="133">
        <f t="shared" si="3"/>
        <v>0.14654525977504018</v>
      </c>
      <c r="N6" s="134">
        <v>66.849999999999994</v>
      </c>
      <c r="O6" s="615">
        <f t="shared" ref="O6:O8" si="9">N6*(D6+G6)</f>
        <v>249350.49999999997</v>
      </c>
      <c r="P6" s="613" t="str">
        <f t="shared" si="4"/>
        <v>246 / 1863</v>
      </c>
      <c r="Q6" s="613" t="str">
        <f t="shared" si="5"/>
        <v>342 / 1867</v>
      </c>
    </row>
    <row r="7" spans="1:19">
      <c r="A7" s="29" t="s">
        <v>370</v>
      </c>
      <c r="B7" s="30">
        <v>259</v>
      </c>
      <c r="C7" s="31">
        <f t="shared" si="6"/>
        <v>2738</v>
      </c>
      <c r="D7" s="32">
        <v>2997</v>
      </c>
      <c r="E7" s="30">
        <v>352</v>
      </c>
      <c r="F7" s="31">
        <f t="shared" si="7"/>
        <v>2639</v>
      </c>
      <c r="G7" s="32">
        <v>2991</v>
      </c>
      <c r="H7" s="522">
        <v>2</v>
      </c>
      <c r="I7" s="132">
        <f t="shared" si="0"/>
        <v>5994</v>
      </c>
      <c r="J7" s="132">
        <f t="shared" si="1"/>
        <v>5982</v>
      </c>
      <c r="K7" s="132">
        <f t="shared" si="8"/>
        <v>11976</v>
      </c>
      <c r="L7" s="133">
        <f t="shared" si="2"/>
        <v>4.3209876543209874E-2</v>
      </c>
      <c r="M7" s="133">
        <f t="shared" si="3"/>
        <v>5.8843196255432967E-2</v>
      </c>
      <c r="N7" s="134">
        <v>71.849999999999994</v>
      </c>
      <c r="O7" s="615">
        <f t="shared" si="9"/>
        <v>430237.8</v>
      </c>
      <c r="P7" s="613" t="str">
        <f t="shared" si="4"/>
        <v>259 / 2997</v>
      </c>
      <c r="Q7" s="613" t="str">
        <f t="shared" si="5"/>
        <v>352 / 2991</v>
      </c>
    </row>
    <row r="8" spans="1:19">
      <c r="A8" s="29" t="s">
        <v>232</v>
      </c>
      <c r="B8" s="30">
        <v>329</v>
      </c>
      <c r="C8" s="31">
        <f t="shared" si="6"/>
        <v>2802</v>
      </c>
      <c r="D8" s="32">
        <v>3131</v>
      </c>
      <c r="E8" s="30">
        <v>418</v>
      </c>
      <c r="F8" s="31">
        <f t="shared" si="7"/>
        <v>2714</v>
      </c>
      <c r="G8" s="32">
        <v>3132</v>
      </c>
      <c r="H8" s="522">
        <v>2.1666666666666665</v>
      </c>
      <c r="I8" s="132">
        <f t="shared" si="0"/>
        <v>6783.833333333333</v>
      </c>
      <c r="J8" s="132">
        <f t="shared" si="1"/>
        <v>6785.9999999999991</v>
      </c>
      <c r="K8" s="132">
        <f t="shared" si="8"/>
        <v>13569.833333333332</v>
      </c>
      <c r="L8" s="133">
        <f t="shared" si="2"/>
        <v>4.8497653735596884E-2</v>
      </c>
      <c r="M8" s="133">
        <f t="shared" si="3"/>
        <v>6.1597406424992639E-2</v>
      </c>
      <c r="N8" s="134">
        <v>71.650000000000006</v>
      </c>
      <c r="O8" s="615">
        <f t="shared" si="9"/>
        <v>448743.95</v>
      </c>
      <c r="P8" s="613" t="str">
        <f t="shared" si="4"/>
        <v>329 / 3131</v>
      </c>
      <c r="Q8" s="613" t="str">
        <f t="shared" si="5"/>
        <v>418 / 3132</v>
      </c>
    </row>
    <row r="9" spans="1:19">
      <c r="A9" s="518">
        <f>COUNT(D5:D8)</f>
        <v>4</v>
      </c>
      <c r="B9" s="136">
        <f>SUM(B5:B8)</f>
        <v>1065</v>
      </c>
      <c r="C9" s="137"/>
      <c r="D9" s="136">
        <f>SUM(D5:D8)</f>
        <v>10364</v>
      </c>
      <c r="E9" s="136">
        <f>SUM(E5:E8)</f>
        <v>1430</v>
      </c>
      <c r="F9" s="137"/>
      <c r="G9" s="136">
        <f>SUM(G5:G8)</f>
        <v>10361</v>
      </c>
      <c r="H9" s="523">
        <f>K9/(D9+G9)</f>
        <v>1.7818576598311218</v>
      </c>
      <c r="I9" s="138">
        <f>SUM(I5:I8)</f>
        <v>18468.333333333332</v>
      </c>
      <c r="J9" s="138">
        <f>SUM(J5:J8)</f>
        <v>18460.666666666668</v>
      </c>
      <c r="K9" s="138">
        <f>SUM(K5:K8)</f>
        <v>36929</v>
      </c>
      <c r="L9" s="139">
        <f t="shared" si="2"/>
        <v>5.766627560689469E-2</v>
      </c>
      <c r="M9" s="139">
        <f t="shared" si="3"/>
        <v>7.7461991260698415E-2</v>
      </c>
      <c r="N9" s="140">
        <f>O9/(D9+G9)</f>
        <v>69.630718938480086</v>
      </c>
      <c r="O9" s="616">
        <f>SUM(O5:O8)</f>
        <v>1443096.65</v>
      </c>
      <c r="P9" s="617" t="str">
        <f t="shared" si="4"/>
        <v>1065 / 10364</v>
      </c>
      <c r="Q9" s="617" t="str">
        <f t="shared" si="5"/>
        <v>1430 / 10361</v>
      </c>
    </row>
    <row r="10" spans="1:19" ht="15" thickBot="1">
      <c r="B10" s="1"/>
      <c r="C10" s="1"/>
      <c r="E10" s="141"/>
      <c r="F10" s="11"/>
      <c r="S10" s="117"/>
    </row>
    <row r="11" spans="1:19" ht="15" thickBot="1">
      <c r="B11" s="142" t="s">
        <v>85</v>
      </c>
      <c r="C11" s="143">
        <v>0.13802624247364689</v>
      </c>
      <c r="D11" s="644" t="s">
        <v>86</v>
      </c>
      <c r="E11" s="645"/>
      <c r="F11" s="646"/>
      <c r="S11" s="117"/>
    </row>
    <row r="12" spans="1:19" ht="26.5" thickBot="1">
      <c r="A12" s="144">
        <f>I38</f>
        <v>7.7461991260698415E-2</v>
      </c>
      <c r="B12" s="121" t="s">
        <v>87</v>
      </c>
      <c r="C12" s="15"/>
      <c r="D12" s="145" t="s">
        <v>88</v>
      </c>
      <c r="E12" s="146" t="s">
        <v>89</v>
      </c>
      <c r="F12" s="145" t="s">
        <v>90</v>
      </c>
      <c r="S12" s="117"/>
    </row>
    <row r="13" spans="1:19" ht="15" thickBot="1">
      <c r="A13" s="147">
        <f>E38</f>
        <v>1.7818576598311218</v>
      </c>
      <c r="B13" s="148" t="s">
        <v>91</v>
      </c>
      <c r="C13" s="15"/>
      <c r="D13" s="149">
        <v>0.74460220533375121</v>
      </c>
      <c r="E13" s="150">
        <v>0.69122214532199255</v>
      </c>
      <c r="F13" s="151">
        <v>0.80210567010250233</v>
      </c>
      <c r="G13" s="15"/>
      <c r="S13" s="117"/>
    </row>
    <row r="14" spans="1:19" ht="14.5" hidden="1">
      <c r="A14" s="152"/>
      <c r="B14" s="153"/>
      <c r="C14" s="1"/>
      <c r="S14" s="117"/>
    </row>
    <row r="15" spans="1:19" ht="15" hidden="1" thickBot="1">
      <c r="A15" s="152"/>
      <c r="B15" s="154"/>
      <c r="C15" s="155"/>
      <c r="D15" s="156">
        <f>C11*D13</f>
        <v>0.10277464453980856</v>
      </c>
      <c r="E15" s="157">
        <f>C11*E13</f>
        <v>9.5406795433367733E-2</v>
      </c>
      <c r="F15" s="158">
        <f>C11*F13</f>
        <v>0.11071163171105501</v>
      </c>
      <c r="S15" s="117"/>
    </row>
    <row r="16" spans="1:19" ht="14.5" hidden="1">
      <c r="A16" s="152"/>
      <c r="B16" s="153"/>
      <c r="C16" s="1"/>
      <c r="S16" s="117"/>
    </row>
    <row r="17" spans="1:19" ht="15" hidden="1" thickBot="1">
      <c r="A17" s="152"/>
      <c r="B17" s="159"/>
      <c r="C17" s="160" t="s">
        <v>92</v>
      </c>
      <c r="D17" s="161">
        <f>C11-D15</f>
        <v>3.5251597933838336E-2</v>
      </c>
      <c r="E17" s="162">
        <f>C11-F15</f>
        <v>2.7314610762591882E-2</v>
      </c>
      <c r="F17" s="163">
        <f>C11-E15</f>
        <v>4.261944704027916E-2</v>
      </c>
      <c r="S17" s="117"/>
    </row>
    <row r="18" spans="1:19" ht="15" hidden="1" thickBot="1">
      <c r="A18" s="152"/>
      <c r="B18" s="164"/>
      <c r="C18" s="165" t="s">
        <v>93</v>
      </c>
      <c r="D18" s="166">
        <f>1/D17</f>
        <v>28.36750838577138</v>
      </c>
      <c r="E18" s="167">
        <f>1/F17</f>
        <v>23.463467253690816</v>
      </c>
      <c r="F18" s="168">
        <f>1/E17</f>
        <v>36.610442985683243</v>
      </c>
      <c r="S18" s="117"/>
    </row>
    <row r="19" spans="1:19" ht="14.5" hidden="1">
      <c r="A19" s="152"/>
      <c r="B19" s="153"/>
      <c r="C19" s="15"/>
      <c r="D19" s="15"/>
      <c r="E19" s="15"/>
      <c r="F19" s="15"/>
      <c r="S19" s="117"/>
    </row>
    <row r="20" spans="1:19" ht="14.5" hidden="1">
      <c r="A20" s="152"/>
      <c r="B20" s="169" t="s">
        <v>94</v>
      </c>
      <c r="C20" s="170"/>
      <c r="D20" s="170"/>
      <c r="E20" s="171">
        <f>ROUND(D13,2)</f>
        <v>0.74</v>
      </c>
      <c r="F20" s="172">
        <f>ROUND(D17,4)</f>
        <v>3.5299999999999998E-2</v>
      </c>
      <c r="G20" s="173">
        <f>ROUND(D18,0)</f>
        <v>28</v>
      </c>
      <c r="S20" s="117"/>
    </row>
    <row r="21" spans="1:19" ht="14.5" hidden="1">
      <c r="A21" s="152"/>
      <c r="B21" s="174" t="s">
        <v>95</v>
      </c>
      <c r="C21" s="175">
        <f>ROUND(D15,4)</f>
        <v>0.1028</v>
      </c>
      <c r="D21" s="176">
        <f>ROUND(C11,4)</f>
        <v>0.13800000000000001</v>
      </c>
      <c r="E21" s="177">
        <f>ROUND(E13,2)</f>
        <v>0.69</v>
      </c>
      <c r="F21" s="178">
        <f>ROUND(E17,4)</f>
        <v>2.7300000000000001E-2</v>
      </c>
      <c r="G21" s="179">
        <f>ROUND(E18,0)</f>
        <v>23</v>
      </c>
      <c r="S21" s="117"/>
    </row>
    <row r="22" spans="1:19" ht="14.5" hidden="1">
      <c r="A22" s="152"/>
      <c r="B22" s="174" t="s">
        <v>96</v>
      </c>
      <c r="C22" s="180"/>
      <c r="D22" s="180"/>
      <c r="E22" s="177">
        <f>ROUND(F13,2)</f>
        <v>0.8</v>
      </c>
      <c r="F22" s="178">
        <f>ROUND(F17,4)</f>
        <v>4.2599999999999999E-2</v>
      </c>
      <c r="G22" s="179">
        <f>ROUND(F18,0)</f>
        <v>37</v>
      </c>
      <c r="S22" s="117"/>
    </row>
    <row r="23" spans="1:19" ht="14.5" hidden="1">
      <c r="A23" s="152"/>
      <c r="B23" s="174" t="s">
        <v>97</v>
      </c>
      <c r="C23" s="181" t="s">
        <v>98</v>
      </c>
      <c r="D23" s="181" t="s">
        <v>99</v>
      </c>
      <c r="E23" s="182" t="s">
        <v>100</v>
      </c>
      <c r="F23" s="182" t="s">
        <v>101</v>
      </c>
      <c r="G23" s="181" t="s">
        <v>93</v>
      </c>
      <c r="S23" s="117"/>
    </row>
    <row r="24" spans="1:19" ht="14.5" hidden="1">
      <c r="A24" s="152"/>
      <c r="B24" s="183" t="s">
        <v>102</v>
      </c>
      <c r="C24" s="181" t="str">
        <f>CONCATENATE(C21*100,B23)</f>
        <v>10,28%</v>
      </c>
      <c r="D24" s="181" t="str">
        <f>CONCATENATE(D21*100,B23)</f>
        <v>13,8%</v>
      </c>
      <c r="E24" s="181" t="str">
        <f>CONCATENATE(E20," ",B20,E21,B21,E22,B22)</f>
        <v>0,74 (0,69-0,8)</v>
      </c>
      <c r="F24" s="181" t="str">
        <f>CONCATENATE(F20*100,B23," ",B20,F21*100,B23," ",B24," ",F22*100,B23,B22)</f>
        <v>3,53% (2,73% a 4,26%)</v>
      </c>
      <c r="G24" s="181" t="str">
        <f>CONCATENATE(G20," ",B20,G21," ",B24," ",G22,B22)</f>
        <v>28 (23 a 37)</v>
      </c>
      <c r="S24" s="117"/>
    </row>
    <row r="25" spans="1:19" ht="14.5" hidden="1">
      <c r="A25" s="184"/>
      <c r="B25" s="153"/>
      <c r="D25" s="112"/>
      <c r="E25" s="112"/>
      <c r="F25" s="112"/>
      <c r="G25" s="112"/>
      <c r="S25" s="117"/>
    </row>
    <row r="26" spans="1:19" ht="15" thickBot="1">
      <c r="A26" s="144">
        <f>A12*A13</f>
        <v>0.13802624247364689</v>
      </c>
      <c r="B26" s="121" t="s">
        <v>103</v>
      </c>
      <c r="C26" s="1"/>
      <c r="S26" s="117"/>
    </row>
    <row r="27" spans="1:19" ht="15" thickBot="1">
      <c r="A27" s="185"/>
      <c r="B27" s="1"/>
      <c r="C27" s="186" t="s">
        <v>104</v>
      </c>
      <c r="D27" s="187" t="s">
        <v>99</v>
      </c>
      <c r="E27" s="187" t="s">
        <v>100</v>
      </c>
      <c r="F27" s="187" t="s">
        <v>92</v>
      </c>
      <c r="G27" s="188" t="s">
        <v>93</v>
      </c>
      <c r="S27" s="117"/>
    </row>
    <row r="28" spans="1:19" ht="26.5" thickBot="1">
      <c r="A28" s="189"/>
      <c r="B28" s="190"/>
      <c r="C28" s="191" t="str">
        <f>C24</f>
        <v>10,28%</v>
      </c>
      <c r="D28" s="192" t="str">
        <f>D24</f>
        <v>13,8%</v>
      </c>
      <c r="E28" s="192" t="str">
        <f>E24</f>
        <v>0,74 (0,69-0,8)</v>
      </c>
      <c r="F28" s="192" t="str">
        <f>F24</f>
        <v>3,53% (2,73% a 4,26%)</v>
      </c>
      <c r="G28" s="193" t="str">
        <f>G24</f>
        <v>28 (23 a 37)</v>
      </c>
      <c r="S28" s="117"/>
    </row>
    <row r="29" spans="1:19" ht="14.5">
      <c r="B29" s="1"/>
      <c r="C29" s="1"/>
      <c r="E29" s="141"/>
      <c r="F29" s="11"/>
      <c r="S29" s="117"/>
    </row>
    <row r="30" spans="1:19" ht="15" thickBot="1">
      <c r="D30" s="141"/>
      <c r="E30" s="141"/>
      <c r="S30" s="117"/>
    </row>
    <row r="31" spans="1:19" ht="34.5" customHeight="1" thickBot="1">
      <c r="A31" s="558" t="s">
        <v>391</v>
      </c>
      <c r="B31" s="194" t="str">
        <f>B2</f>
        <v>Hospitalización por Insuficiencia cardíaca [+ - FEVIr, + - DM2], en 21 meses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6"/>
      <c r="S31" s="117"/>
    </row>
    <row r="32" spans="1:19" ht="36" customHeight="1" thickBot="1">
      <c r="A32" s="637" t="s">
        <v>105</v>
      </c>
      <c r="B32" s="633" t="s">
        <v>106</v>
      </c>
      <c r="C32" s="639" t="s">
        <v>107</v>
      </c>
      <c r="D32" s="637" t="s">
        <v>233</v>
      </c>
      <c r="E32" s="633" t="s">
        <v>108</v>
      </c>
      <c r="F32" s="633" t="s">
        <v>109</v>
      </c>
      <c r="G32" s="633" t="s">
        <v>110</v>
      </c>
      <c r="H32" s="633" t="s">
        <v>111</v>
      </c>
      <c r="I32" s="633" t="s">
        <v>112</v>
      </c>
      <c r="J32" s="633" t="s">
        <v>113</v>
      </c>
      <c r="K32" s="635" t="s">
        <v>114</v>
      </c>
      <c r="L32" s="625" t="s">
        <v>115</v>
      </c>
      <c r="M32" s="626"/>
      <c r="N32" s="626"/>
      <c r="O32" s="627"/>
      <c r="S32" s="117"/>
    </row>
    <row r="33" spans="1:19" ht="43.5" customHeight="1" thickBot="1">
      <c r="A33" s="638"/>
      <c r="B33" s="634"/>
      <c r="C33" s="640"/>
      <c r="D33" s="638"/>
      <c r="E33" s="634"/>
      <c r="F33" s="634"/>
      <c r="G33" s="634"/>
      <c r="H33" s="634"/>
      <c r="I33" s="634"/>
      <c r="J33" s="634"/>
      <c r="K33" s="636"/>
      <c r="L33" s="197" t="s">
        <v>116</v>
      </c>
      <c r="M33" s="198" t="s">
        <v>92</v>
      </c>
      <c r="N33" s="199" t="s">
        <v>93</v>
      </c>
      <c r="O33" s="200" t="s">
        <v>117</v>
      </c>
      <c r="S33" s="117"/>
    </row>
    <row r="34" spans="1:19" ht="44.5" customHeight="1">
      <c r="A34" s="521">
        <v>8</v>
      </c>
      <c r="B34" s="201" t="str">
        <f>A5</f>
        <v>20191121-ECA DAPA-HF 17m, FEVI 31+42DM [Dapa vs Pl],-MACE. McMurray</v>
      </c>
      <c r="C34" s="202" t="s">
        <v>118</v>
      </c>
      <c r="D34" s="203"/>
      <c r="E34" s="204">
        <f>H5</f>
        <v>1.4166666666666667</v>
      </c>
      <c r="F34" s="205" t="str">
        <f>P5</f>
        <v>231 / 2373</v>
      </c>
      <c r="G34" s="206">
        <f>L5</f>
        <v>6.8714211348256116E-2</v>
      </c>
      <c r="H34" s="205" t="str">
        <f>Q5</f>
        <v>318 / 2371</v>
      </c>
      <c r="I34" s="207">
        <f t="shared" ref="I34:J38" si="10">M5</f>
        <v>9.4673381794725467E-2</v>
      </c>
      <c r="J34" s="208">
        <f t="shared" si="10"/>
        <v>66.349999999999994</v>
      </c>
      <c r="K34" s="209">
        <v>0.21725722073743747</v>
      </c>
      <c r="L34" s="210" t="s">
        <v>280</v>
      </c>
      <c r="M34" s="211" t="s">
        <v>281</v>
      </c>
      <c r="N34" s="212" t="s">
        <v>282</v>
      </c>
      <c r="O34" s="18" t="s">
        <v>292</v>
      </c>
      <c r="Q34" s="27">
        <v>3.5</v>
      </c>
      <c r="R34" s="213">
        <f>Q34*K34</f>
        <v>0.76040027258103116</v>
      </c>
      <c r="S34" s="117"/>
    </row>
    <row r="35" spans="1:19" ht="44.5" customHeight="1">
      <c r="A35" s="214"/>
      <c r="B35" s="201" t="str">
        <f>A6</f>
        <v>20201008-ECA EMPEROR-red 15m, FEVI 27+50DM [Empa vs Pl], -MACE. Packer</v>
      </c>
      <c r="C35" s="202" t="s">
        <v>118</v>
      </c>
      <c r="D35" s="203"/>
      <c r="E35" s="204">
        <f>H6</f>
        <v>1.25</v>
      </c>
      <c r="F35" s="205" t="str">
        <f>P6</f>
        <v>246 / 1863</v>
      </c>
      <c r="G35" s="206">
        <f>L6</f>
        <v>0.10563607085346216</v>
      </c>
      <c r="H35" s="205" t="str">
        <f>Q6</f>
        <v>342 / 1867</v>
      </c>
      <c r="I35" s="206">
        <f t="shared" si="10"/>
        <v>0.14654525977504018</v>
      </c>
      <c r="J35" s="208">
        <f t="shared" si="10"/>
        <v>66.849999999999994</v>
      </c>
      <c r="K35" s="209">
        <v>0.24346991304921048</v>
      </c>
      <c r="L35" s="210" t="s">
        <v>283</v>
      </c>
      <c r="M35" s="211" t="s">
        <v>284</v>
      </c>
      <c r="N35" s="211" t="s">
        <v>285</v>
      </c>
      <c r="O35" s="18" t="s">
        <v>292</v>
      </c>
      <c r="Q35" s="27">
        <v>3.5</v>
      </c>
      <c r="R35" s="213">
        <f t="shared" ref="R35:R37" si="11">Q35*K35</f>
        <v>0.85214469567223672</v>
      </c>
      <c r="S35" s="117"/>
    </row>
    <row r="36" spans="1:19" ht="44.5" customHeight="1">
      <c r="A36" s="214"/>
      <c r="B36" s="201" t="str">
        <f>A7</f>
        <v>20211014-ECA Emperor-Pres 24m, FEVI 54+50DM, [Empa vs Pl], -ICC. Anker</v>
      </c>
      <c r="C36" s="202" t="s">
        <v>118</v>
      </c>
      <c r="D36" s="203"/>
      <c r="E36" s="204">
        <f>H7</f>
        <v>2</v>
      </c>
      <c r="F36" s="205" t="str">
        <f>P7</f>
        <v>259 / 2997</v>
      </c>
      <c r="G36" s="206">
        <f>L7</f>
        <v>4.3209876543209874E-2</v>
      </c>
      <c r="H36" s="205" t="str">
        <f>Q7</f>
        <v>352 / 2991</v>
      </c>
      <c r="I36" s="206">
        <f t="shared" si="10"/>
        <v>5.8843196255432967E-2</v>
      </c>
      <c r="J36" s="208">
        <f t="shared" si="10"/>
        <v>71.849999999999994</v>
      </c>
      <c r="K36" s="209">
        <v>0.23873764718844043</v>
      </c>
      <c r="L36" s="210" t="s">
        <v>286</v>
      </c>
      <c r="M36" s="211" t="s">
        <v>287</v>
      </c>
      <c r="N36" s="211" t="s">
        <v>288</v>
      </c>
      <c r="O36" s="18" t="s">
        <v>292</v>
      </c>
      <c r="Q36" s="27">
        <v>3.5</v>
      </c>
      <c r="R36" s="213">
        <f t="shared" si="11"/>
        <v>0.83558176515954152</v>
      </c>
      <c r="S36" s="117"/>
    </row>
    <row r="37" spans="1:19" ht="44.5" customHeight="1" thickBot="1">
      <c r="A37" s="214"/>
      <c r="B37" s="201" t="str">
        <f>A8</f>
        <v>20220922-ECA DELIVER 26m, FEVI 54+45DM, [Dapa vs Pl], -InsCar. Solomon</v>
      </c>
      <c r="C37" s="202" t="s">
        <v>118</v>
      </c>
      <c r="D37" s="203"/>
      <c r="E37" s="204">
        <f>H8</f>
        <v>2.1666666666666665</v>
      </c>
      <c r="F37" s="205" t="str">
        <f>P8</f>
        <v>329 / 3131</v>
      </c>
      <c r="G37" s="206">
        <f>L8</f>
        <v>4.8497653735596884E-2</v>
      </c>
      <c r="H37" s="205" t="str">
        <f>Q8</f>
        <v>418 / 3132</v>
      </c>
      <c r="I37" s="206">
        <f t="shared" si="10"/>
        <v>6.1597406424992639E-2</v>
      </c>
      <c r="J37" s="208">
        <f t="shared" si="10"/>
        <v>71.650000000000006</v>
      </c>
      <c r="K37" s="209">
        <v>0.30053521902491176</v>
      </c>
      <c r="L37" s="210" t="s">
        <v>289</v>
      </c>
      <c r="M37" s="211" t="s">
        <v>290</v>
      </c>
      <c r="N37" s="211" t="s">
        <v>291</v>
      </c>
      <c r="O37" s="18" t="s">
        <v>292</v>
      </c>
      <c r="Q37" s="27">
        <v>3.5</v>
      </c>
      <c r="R37" s="213">
        <f t="shared" si="11"/>
        <v>1.051873266587191</v>
      </c>
      <c r="S37" s="117"/>
    </row>
    <row r="38" spans="1:19" ht="21.5" thickBot="1">
      <c r="A38" s="215" t="s">
        <v>119</v>
      </c>
      <c r="B38" s="216">
        <f>COUNT(E34:E37)</f>
        <v>4</v>
      </c>
      <c r="C38" s="217"/>
      <c r="D38" s="218" t="s">
        <v>241</v>
      </c>
      <c r="E38" s="219">
        <f>H9</f>
        <v>1.7818576598311218</v>
      </c>
      <c r="F38" s="220" t="str">
        <f>P9</f>
        <v>1065 / 10364</v>
      </c>
      <c r="G38" s="221">
        <f>L9</f>
        <v>5.766627560689469E-2</v>
      </c>
      <c r="H38" s="220" t="str">
        <f>Q9</f>
        <v>1430 / 10361</v>
      </c>
      <c r="I38" s="221">
        <f t="shared" si="10"/>
        <v>7.7461991260698415E-2</v>
      </c>
      <c r="J38" s="219">
        <f t="shared" si="10"/>
        <v>69.630718938480086</v>
      </c>
      <c r="K38" s="222">
        <v>1</v>
      </c>
      <c r="L38" s="524" t="s">
        <v>336</v>
      </c>
      <c r="M38" s="223"/>
      <c r="N38" s="224"/>
      <c r="O38" s="494" t="s">
        <v>294</v>
      </c>
      <c r="R38" s="225">
        <f>SUM(R34:R37)</f>
        <v>3.5000000000000004</v>
      </c>
      <c r="S38" s="117"/>
    </row>
    <row r="39" spans="1:19" ht="21.5" customHeight="1" thickBot="1">
      <c r="A39" s="226"/>
      <c r="B39" s="226"/>
      <c r="C39" s="227"/>
      <c r="D39" s="489" t="s">
        <v>224</v>
      </c>
      <c r="E39" s="229"/>
      <c r="F39" s="230"/>
      <c r="G39" s="231"/>
      <c r="H39" s="230"/>
      <c r="I39" s="232"/>
      <c r="J39" s="233"/>
      <c r="K39" s="490"/>
      <c r="L39" s="491"/>
      <c r="M39" s="492"/>
      <c r="N39" s="608" t="s">
        <v>485</v>
      </c>
      <c r="O39" s="493" t="s">
        <v>294</v>
      </c>
    </row>
    <row r="40" spans="1:19" ht="13.5" thickBot="1">
      <c r="A40" s="226"/>
      <c r="B40" s="226"/>
      <c r="C40" s="227"/>
      <c r="D40" s="228"/>
      <c r="E40" s="229"/>
      <c r="F40" s="230"/>
      <c r="G40" s="231"/>
      <c r="H40" s="230"/>
      <c r="I40" s="232"/>
      <c r="J40" s="233"/>
      <c r="K40" s="234"/>
      <c r="L40" s="223"/>
      <c r="M40" s="224"/>
      <c r="N40" s="224"/>
      <c r="O40" s="234"/>
    </row>
    <row r="41" spans="1:19" ht="47" thickBot="1">
      <c r="A41" s="235"/>
      <c r="B41" s="628" t="s">
        <v>120</v>
      </c>
      <c r="C41" s="629"/>
      <c r="D41" s="629"/>
      <c r="E41" s="629"/>
      <c r="F41" s="629"/>
      <c r="G41" s="629"/>
      <c r="H41" s="629"/>
      <c r="I41" s="630"/>
      <c r="J41" s="236" t="s">
        <v>121</v>
      </c>
      <c r="K41" s="237" t="s">
        <v>122</v>
      </c>
      <c r="L41" s="238" t="s">
        <v>116</v>
      </c>
      <c r="M41" s="239" t="s">
        <v>92</v>
      </c>
      <c r="N41" s="240" t="s">
        <v>93</v>
      </c>
      <c r="O41" s="224"/>
    </row>
    <row r="42" spans="1:19" ht="19.5" customHeight="1">
      <c r="A42" s="631" t="s">
        <v>123</v>
      </c>
      <c r="B42" s="241" t="s">
        <v>124</v>
      </c>
      <c r="C42" s="242">
        <f>I38</f>
        <v>7.7461991260698415E-2</v>
      </c>
      <c r="D42" s="243" t="s">
        <v>125</v>
      </c>
      <c r="E42" s="243"/>
      <c r="F42" s="243"/>
      <c r="G42" s="243"/>
      <c r="H42" s="244">
        <f>J38</f>
        <v>69.630718938480086</v>
      </c>
      <c r="I42" s="245" t="s">
        <v>126</v>
      </c>
      <c r="J42" s="246" t="s">
        <v>337</v>
      </c>
      <c r="K42" s="247" t="s">
        <v>338</v>
      </c>
      <c r="L42" s="525" t="s">
        <v>336</v>
      </c>
      <c r="M42" s="248" t="s">
        <v>339</v>
      </c>
      <c r="N42" s="248" t="s">
        <v>340</v>
      </c>
      <c r="O42" s="249" t="s">
        <v>127</v>
      </c>
    </row>
    <row r="43" spans="1:19" ht="19" thickBot="1">
      <c r="A43" s="632"/>
      <c r="B43" s="250" t="s">
        <v>124</v>
      </c>
      <c r="C43" s="251">
        <f>I38*E38</f>
        <v>0.13802624247364689</v>
      </c>
      <c r="D43" s="252" t="s">
        <v>128</v>
      </c>
      <c r="E43" s="253"/>
      <c r="F43" s="254"/>
      <c r="G43" s="670">
        <f>E38</f>
        <v>1.7818576598311218</v>
      </c>
      <c r="H43" s="252" t="s">
        <v>129</v>
      </c>
      <c r="I43" s="256"/>
      <c r="J43" s="257" t="s">
        <v>341</v>
      </c>
      <c r="K43" s="258" t="s">
        <v>342</v>
      </c>
      <c r="L43" s="526" t="s">
        <v>336</v>
      </c>
      <c r="M43" s="259" t="s">
        <v>343</v>
      </c>
      <c r="N43" s="259" t="s">
        <v>344</v>
      </c>
      <c r="O43" s="260" t="s">
        <v>346</v>
      </c>
      <c r="P43" s="15" t="s">
        <v>345</v>
      </c>
    </row>
    <row r="44" spans="1:19" ht="19" thickBot="1">
      <c r="A44" s="261"/>
      <c r="B44" s="262"/>
      <c r="C44" s="263"/>
      <c r="D44" s="264"/>
      <c r="E44" s="265"/>
      <c r="F44" s="266"/>
      <c r="G44" s="267"/>
      <c r="H44" s="264"/>
      <c r="I44" s="266"/>
      <c r="J44" s="268"/>
      <c r="K44" s="268"/>
      <c r="L44" s="269"/>
      <c r="M44" s="270"/>
      <c r="N44" s="270"/>
      <c r="O44" s="271"/>
    </row>
    <row r="45" spans="1:19" ht="19" thickBot="1">
      <c r="A45" s="272"/>
      <c r="B45" s="272"/>
      <c r="C45" s="234"/>
      <c r="D45" s="234"/>
      <c r="E45" s="234"/>
      <c r="F45" s="234"/>
      <c r="G45" s="234"/>
      <c r="H45" s="234"/>
      <c r="I45" s="273"/>
      <c r="J45" s="274"/>
      <c r="K45" s="275" t="s">
        <v>130</v>
      </c>
      <c r="L45" s="531" t="s">
        <v>347</v>
      </c>
      <c r="M45" s="276"/>
      <c r="N45" s="277"/>
      <c r="O45" s="278"/>
    </row>
    <row r="46" spans="1:19">
      <c r="A46" s="112"/>
      <c r="C46" s="1"/>
      <c r="I46" s="109" t="s">
        <v>131</v>
      </c>
      <c r="J46" s="279">
        <f>G43</f>
        <v>1.7818576598311218</v>
      </c>
      <c r="K46" s="279">
        <f>J46</f>
        <v>1.7818576598311218</v>
      </c>
    </row>
    <row r="47" spans="1:19">
      <c r="A47" s="112"/>
      <c r="C47" s="1"/>
      <c r="I47" s="15"/>
      <c r="J47" s="3" t="s">
        <v>81</v>
      </c>
      <c r="K47" s="3" t="s">
        <v>82</v>
      </c>
      <c r="L47" s="3" t="s">
        <v>132</v>
      </c>
    </row>
    <row r="48" spans="1:19" ht="17">
      <c r="I48" s="280" t="s">
        <v>263</v>
      </c>
      <c r="J48" s="528">
        <f>J42*100*J46</f>
        <v>10.281318697225574</v>
      </c>
      <c r="K48" s="529">
        <f>K42*100*K46</f>
        <v>13.809396863691195</v>
      </c>
      <c r="L48" s="527">
        <f>((J48*I9)+(K48*J9))/K9</f>
        <v>12.044991556091677</v>
      </c>
      <c r="M48" s="281"/>
      <c r="N48" s="28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</sheetData>
  <mergeCells count="19">
    <mergeCell ref="L32:O32"/>
    <mergeCell ref="B41:I41"/>
    <mergeCell ref="A42:A4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3" footer="0.3"/>
  <ignoredErrors>
    <ignoredError sqref="H9" formula="1"/>
    <ignoredError sqref="J42:K4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B389-A1E0-4D70-9B69-D6CD80AD4F8C}">
  <dimension ref="A1:S63"/>
  <sheetViews>
    <sheetView zoomScale="70" zoomScaleNormal="70" workbookViewId="0"/>
  </sheetViews>
  <sheetFormatPr baseColWidth="10" defaultColWidth="16" defaultRowHeight="13"/>
  <cols>
    <col min="1" max="1" width="22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Mortalidad por todas las causas, Subgr [+ - FEVIr, sin DM2], en 21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39">
      <c r="A4" s="559" t="s">
        <v>376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133</v>
      </c>
      <c r="C5" s="563">
        <f>D5-B5</f>
        <v>1165</v>
      </c>
      <c r="D5" s="564">
        <v>1298</v>
      </c>
      <c r="E5" s="562">
        <v>151</v>
      </c>
      <c r="F5" s="563">
        <f>G5-E5</f>
        <v>1156</v>
      </c>
      <c r="G5" s="564">
        <v>1307</v>
      </c>
      <c r="H5" s="522">
        <v>1.4166666666666667</v>
      </c>
      <c r="I5" s="132">
        <f t="shared" ref="I5:I6" si="0">D5*H5</f>
        <v>1838.8333333333335</v>
      </c>
      <c r="J5" s="132">
        <f t="shared" ref="J5:J6" si="1">G5*H5</f>
        <v>1851.5833333333335</v>
      </c>
      <c r="K5" s="132">
        <f>I5+J5</f>
        <v>3690.416666666667</v>
      </c>
      <c r="L5" s="133">
        <f t="shared" ref="L5:L7" si="2">B5/I5</f>
        <v>7.2328469138040419E-2</v>
      </c>
      <c r="M5" s="133">
        <f t="shared" ref="M5:M7" si="3">E5/J5</f>
        <v>8.1551825014627113E-2</v>
      </c>
      <c r="N5" s="134">
        <v>66.349999999999994</v>
      </c>
      <c r="O5" s="615">
        <f>N5*(D5+G5)</f>
        <v>172841.74999999997</v>
      </c>
      <c r="P5" s="613" t="str">
        <f t="shared" ref="P5:P7" si="4">CONCATENATE(B5," ",$P$4," ",D5)</f>
        <v>133 / 1298</v>
      </c>
      <c r="Q5" s="613" t="str">
        <f t="shared" ref="Q5:Q7" si="5">CONCATENATE(E5," ",$Q$4," ",G5)</f>
        <v>151 / 1307</v>
      </c>
    </row>
    <row r="6" spans="1:19">
      <c r="A6" s="561" t="s">
        <v>370</v>
      </c>
      <c r="B6" s="562">
        <v>188</v>
      </c>
      <c r="C6" s="563">
        <f t="shared" ref="C6" si="6">D6-B6</f>
        <v>1343</v>
      </c>
      <c r="D6" s="564">
        <v>1531</v>
      </c>
      <c r="E6" s="562">
        <v>201</v>
      </c>
      <c r="F6" s="563">
        <f t="shared" ref="F6" si="7">G6-E6</f>
        <v>1318</v>
      </c>
      <c r="G6" s="564">
        <v>1519</v>
      </c>
      <c r="H6" s="522">
        <v>2</v>
      </c>
      <c r="I6" s="132">
        <f t="shared" si="0"/>
        <v>3062</v>
      </c>
      <c r="J6" s="132">
        <f t="shared" si="1"/>
        <v>3038</v>
      </c>
      <c r="K6" s="132">
        <f t="shared" ref="K6" si="8">I6+J6</f>
        <v>6100</v>
      </c>
      <c r="L6" s="133">
        <f t="shared" si="2"/>
        <v>6.1397779229261921E-2</v>
      </c>
      <c r="M6" s="133">
        <f t="shared" si="3"/>
        <v>6.6161948650427918E-2</v>
      </c>
      <c r="N6" s="134">
        <v>71.849999999999994</v>
      </c>
      <c r="O6" s="615">
        <f t="shared" ref="O6" si="9">N6*(D6+G6)</f>
        <v>219142.49999999997</v>
      </c>
      <c r="P6" s="613" t="str">
        <f t="shared" si="4"/>
        <v>188 / 1531</v>
      </c>
      <c r="Q6" s="613" t="str">
        <f t="shared" si="5"/>
        <v>201 / 1519</v>
      </c>
    </row>
    <row r="7" spans="1:19">
      <c r="A7" s="600">
        <f>COUNT(D5:D6)</f>
        <v>2</v>
      </c>
      <c r="B7" s="136">
        <f>SUM(B5:B6)</f>
        <v>321</v>
      </c>
      <c r="C7" s="137"/>
      <c r="D7" s="136">
        <f>SUM(D5:D6)</f>
        <v>2829</v>
      </c>
      <c r="E7" s="136">
        <f>SUM(E5:E6)</f>
        <v>352</v>
      </c>
      <c r="F7" s="137"/>
      <c r="G7" s="136">
        <f>SUM(G5:G6)</f>
        <v>2826</v>
      </c>
      <c r="H7" s="523">
        <f>K7/(D7+G7)</f>
        <v>1.7312849985263781</v>
      </c>
      <c r="I7" s="138">
        <f>SUM(I5:I6)</f>
        <v>4900.8333333333339</v>
      </c>
      <c r="J7" s="138">
        <f>SUM(J5:J6)</f>
        <v>4889.5833333333339</v>
      </c>
      <c r="K7" s="138">
        <f>SUM(K5:K6)</f>
        <v>9790.4166666666679</v>
      </c>
      <c r="L7" s="139">
        <f t="shared" si="2"/>
        <v>6.5499064784900515E-2</v>
      </c>
      <c r="M7" s="139">
        <f t="shared" si="3"/>
        <v>7.1989774179803998E-2</v>
      </c>
      <c r="N7" s="140">
        <f>O7/(D7+G7)</f>
        <v>69.316401414677273</v>
      </c>
      <c r="O7" s="616">
        <f>SUM(O5:O6)</f>
        <v>391984.24999999994</v>
      </c>
      <c r="P7" s="617" t="str">
        <f t="shared" si="4"/>
        <v>321 / 2829</v>
      </c>
      <c r="Q7" s="617" t="str">
        <f t="shared" si="5"/>
        <v>352 / 2826</v>
      </c>
    </row>
    <row r="8" spans="1:19" ht="15" thickBot="1">
      <c r="B8" s="1"/>
      <c r="C8" s="1"/>
      <c r="E8" s="141"/>
      <c r="F8" s="11"/>
      <c r="S8" s="117"/>
    </row>
    <row r="9" spans="1:19" ht="15" thickBot="1">
      <c r="B9" s="142" t="s">
        <v>85</v>
      </c>
      <c r="C9" s="143">
        <v>0.12463481608479625</v>
      </c>
      <c r="D9" s="644" t="s">
        <v>86</v>
      </c>
      <c r="E9" s="645"/>
      <c r="F9" s="646"/>
      <c r="S9" s="117"/>
    </row>
    <row r="10" spans="1:19" ht="26.5" thickBot="1">
      <c r="A10" s="144">
        <f>I34</f>
        <v>7.1989774179803998E-2</v>
      </c>
      <c r="B10" s="121" t="s">
        <v>87</v>
      </c>
      <c r="C10" s="15"/>
      <c r="D10" s="145" t="s">
        <v>88</v>
      </c>
      <c r="E10" s="146" t="s">
        <v>89</v>
      </c>
      <c r="F10" s="145" t="s">
        <v>90</v>
      </c>
      <c r="S10" s="117"/>
    </row>
    <row r="11" spans="1:19" ht="15" thickBot="1">
      <c r="A11" s="147">
        <f>E34</f>
        <v>1.7312849985263781</v>
      </c>
      <c r="B11" s="148" t="s">
        <v>91</v>
      </c>
      <c r="C11" s="15"/>
      <c r="D11" s="149">
        <v>0.91066867299657639</v>
      </c>
      <c r="E11" s="150">
        <v>0.79015730013551011</v>
      </c>
      <c r="F11" s="151">
        <v>1.0495626566958574</v>
      </c>
      <c r="G11" s="15"/>
      <c r="S11" s="117"/>
    </row>
    <row r="12" spans="1:19" ht="14.5" hidden="1">
      <c r="A12" s="152"/>
      <c r="B12" s="153"/>
      <c r="C12" s="1"/>
      <c r="S12" s="117"/>
    </row>
    <row r="13" spans="1:19" ht="15" hidden="1" thickBot="1">
      <c r="A13" s="152"/>
      <c r="B13" s="154"/>
      <c r="C13" s="155"/>
      <c r="D13" s="156">
        <f>C9*D11</f>
        <v>0.11350102257311376</v>
      </c>
      <c r="E13" s="157">
        <f>C9*E11</f>
        <v>9.8481109780448453E-2</v>
      </c>
      <c r="F13" s="158">
        <f>C9*F11</f>
        <v>0.13081204868675833</v>
      </c>
      <c r="S13" s="117"/>
    </row>
    <row r="14" spans="1:19" ht="14.5" hidden="1">
      <c r="A14" s="152"/>
      <c r="B14" s="153"/>
      <c r="C14" s="1"/>
      <c r="S14" s="117"/>
    </row>
    <row r="15" spans="1:19" ht="15" hidden="1" thickBot="1">
      <c r="A15" s="152"/>
      <c r="B15" s="159"/>
      <c r="C15" s="160" t="s">
        <v>92</v>
      </c>
      <c r="D15" s="161">
        <f>C9-D13</f>
        <v>1.1133793511682491E-2</v>
      </c>
      <c r="E15" s="162">
        <f>C9-F13</f>
        <v>-6.1772326019620821E-3</v>
      </c>
      <c r="F15" s="163">
        <f>C9-E13</f>
        <v>2.6153706304347796E-2</v>
      </c>
      <c r="S15" s="117"/>
    </row>
    <row r="16" spans="1:19" ht="15" hidden="1" thickBot="1">
      <c r="A16" s="152"/>
      <c r="B16" s="164"/>
      <c r="C16" s="165" t="s">
        <v>93</v>
      </c>
      <c r="D16" s="166">
        <f>1/D15</f>
        <v>89.816646855424239</v>
      </c>
      <c r="E16" s="167">
        <f>1/F15</f>
        <v>38.235498569996551</v>
      </c>
      <c r="F16" s="168">
        <f>1/E15</f>
        <v>-161.88478958722854</v>
      </c>
      <c r="S16" s="117"/>
    </row>
    <row r="17" spans="1:19" ht="14.5" hidden="1">
      <c r="A17" s="152"/>
      <c r="B17" s="153"/>
      <c r="C17" s="15"/>
      <c r="D17" s="15"/>
      <c r="E17" s="15"/>
      <c r="F17" s="15"/>
      <c r="S17" s="117"/>
    </row>
    <row r="18" spans="1:19" ht="14.5" hidden="1">
      <c r="A18" s="152"/>
      <c r="B18" s="169" t="s">
        <v>94</v>
      </c>
      <c r="C18" s="170"/>
      <c r="D18" s="170"/>
      <c r="E18" s="171">
        <f>ROUND(D11,2)</f>
        <v>0.91</v>
      </c>
      <c r="F18" s="172">
        <f>ROUND(D15,4)</f>
        <v>1.11E-2</v>
      </c>
      <c r="G18" s="173">
        <f>ROUND(D16,0)</f>
        <v>90</v>
      </c>
      <c r="S18" s="117"/>
    </row>
    <row r="19" spans="1:19" ht="14.5" hidden="1">
      <c r="A19" s="152"/>
      <c r="B19" s="174" t="s">
        <v>95</v>
      </c>
      <c r="C19" s="175">
        <f>ROUND(D13,4)</f>
        <v>0.1135</v>
      </c>
      <c r="D19" s="176">
        <f>ROUND(C9,4)</f>
        <v>0.1246</v>
      </c>
      <c r="E19" s="177">
        <f>ROUND(E11,2)</f>
        <v>0.79</v>
      </c>
      <c r="F19" s="178">
        <f>ROUND(E15,4)</f>
        <v>-6.1999999999999998E-3</v>
      </c>
      <c r="G19" s="179">
        <f>ROUND(E16,0)</f>
        <v>38</v>
      </c>
      <c r="S19" s="117"/>
    </row>
    <row r="20" spans="1:19" ht="14.5" hidden="1">
      <c r="A20" s="152"/>
      <c r="B20" s="174" t="s">
        <v>96</v>
      </c>
      <c r="C20" s="180"/>
      <c r="D20" s="180"/>
      <c r="E20" s="177">
        <f>ROUND(F11,2)</f>
        <v>1.05</v>
      </c>
      <c r="F20" s="178">
        <f>ROUND(F15,4)</f>
        <v>2.6200000000000001E-2</v>
      </c>
      <c r="G20" s="179">
        <f>ROUND(F16,0)</f>
        <v>-162</v>
      </c>
      <c r="S20" s="117"/>
    </row>
    <row r="21" spans="1:19" ht="14.5" hidden="1">
      <c r="A21" s="152"/>
      <c r="B21" s="174" t="s">
        <v>97</v>
      </c>
      <c r="C21" s="181" t="s">
        <v>98</v>
      </c>
      <c r="D21" s="181" t="s">
        <v>99</v>
      </c>
      <c r="E21" s="182" t="s">
        <v>100</v>
      </c>
      <c r="F21" s="182" t="s">
        <v>101</v>
      </c>
      <c r="G21" s="181" t="s">
        <v>93</v>
      </c>
      <c r="S21" s="117"/>
    </row>
    <row r="22" spans="1:19" ht="14.5" hidden="1">
      <c r="A22" s="152"/>
      <c r="B22" s="183" t="s">
        <v>102</v>
      </c>
      <c r="C22" s="181" t="str">
        <f>CONCATENATE(C19*100,B21)</f>
        <v>11,35%</v>
      </c>
      <c r="D22" s="181" t="str">
        <f>CONCATENATE(D19*100,B21)</f>
        <v>12,46%</v>
      </c>
      <c r="E22" s="181" t="str">
        <f>CONCATENATE(E18," ",B18,E19,B19,E20,B20)</f>
        <v>0,91 (0,79-1,05)</v>
      </c>
      <c r="F22" s="181" t="str">
        <f>CONCATENATE(F18*100,B21," ",B18,F19*100,B21," ",B22," ",F20*100,B21,B20)</f>
        <v>1,11% (-0,62% a 2,62%)</v>
      </c>
      <c r="G22" s="181" t="str">
        <f>CONCATENATE(G18," ",B18,G19," ",B22," ",G20,B20)</f>
        <v>90 (38 a -162)</v>
      </c>
      <c r="S22" s="117"/>
    </row>
    <row r="23" spans="1:19" ht="14.5" hidden="1">
      <c r="A23" s="184"/>
      <c r="B23" s="153"/>
      <c r="D23" s="112"/>
      <c r="E23" s="112"/>
      <c r="F23" s="112"/>
      <c r="G23" s="112"/>
      <c r="S23" s="117"/>
    </row>
    <row r="24" spans="1:19" ht="15" thickBot="1">
      <c r="A24" s="144">
        <f>A10*A11</f>
        <v>0.12463481608479625</v>
      </c>
      <c r="B24" s="121" t="s">
        <v>103</v>
      </c>
      <c r="C24" s="1"/>
      <c r="S24" s="117"/>
    </row>
    <row r="25" spans="1:19" ht="15" thickBot="1">
      <c r="A25" s="185"/>
      <c r="B25" s="1"/>
      <c r="C25" s="186" t="s">
        <v>104</v>
      </c>
      <c r="D25" s="187" t="s">
        <v>99</v>
      </c>
      <c r="E25" s="187" t="s">
        <v>100</v>
      </c>
      <c r="F25" s="187" t="s">
        <v>92</v>
      </c>
      <c r="G25" s="188" t="s">
        <v>93</v>
      </c>
      <c r="S25" s="117"/>
    </row>
    <row r="26" spans="1:19" ht="26.5" thickBot="1">
      <c r="A26" s="189"/>
      <c r="B26" s="190"/>
      <c r="C26" s="191" t="str">
        <f>C22</f>
        <v>11,35%</v>
      </c>
      <c r="D26" s="192" t="str">
        <f>D22</f>
        <v>12,46%</v>
      </c>
      <c r="E26" s="192" t="str">
        <f>E22</f>
        <v>0,91 (0,79-1,05)</v>
      </c>
      <c r="F26" s="192" t="str">
        <f>F22</f>
        <v>1,11% (-0,62% a 2,62%)</v>
      </c>
      <c r="G26" s="193" t="str">
        <f>G22</f>
        <v>90 (38 a -162)</v>
      </c>
      <c r="S26" s="117"/>
    </row>
    <row r="27" spans="1:19" ht="14.5">
      <c r="B27" s="1"/>
      <c r="C27" s="1"/>
      <c r="E27" s="141"/>
      <c r="F27" s="11"/>
      <c r="S27" s="117"/>
    </row>
    <row r="28" spans="1:19" ht="15" thickBot="1">
      <c r="D28" s="141"/>
      <c r="E28" s="141"/>
      <c r="S28" s="117"/>
    </row>
    <row r="29" spans="1:19" ht="33" customHeight="1" thickBot="1">
      <c r="A29" s="558" t="s">
        <v>396</v>
      </c>
      <c r="B29" s="194" t="str">
        <f>B2</f>
        <v>Mortalidad por todas las causas, Subgr [+ - FEVIr, sin DM2], en 21 meses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S29" s="117"/>
    </row>
    <row r="30" spans="1:19" ht="36" customHeight="1" thickBot="1">
      <c r="A30" s="637" t="s">
        <v>105</v>
      </c>
      <c r="B30" s="633" t="s">
        <v>106</v>
      </c>
      <c r="C30" s="639" t="s">
        <v>107</v>
      </c>
      <c r="D30" s="637" t="s">
        <v>233</v>
      </c>
      <c r="E30" s="633" t="s">
        <v>108</v>
      </c>
      <c r="F30" s="633" t="s">
        <v>109</v>
      </c>
      <c r="G30" s="633" t="s">
        <v>110</v>
      </c>
      <c r="H30" s="633" t="s">
        <v>111</v>
      </c>
      <c r="I30" s="633" t="s">
        <v>112</v>
      </c>
      <c r="J30" s="633" t="s">
        <v>113</v>
      </c>
      <c r="K30" s="635" t="s">
        <v>114</v>
      </c>
      <c r="L30" s="625" t="s">
        <v>115</v>
      </c>
      <c r="M30" s="626"/>
      <c r="N30" s="626"/>
      <c r="O30" s="627"/>
      <c r="S30" s="117"/>
    </row>
    <row r="31" spans="1:19" ht="43.5" customHeight="1" thickBot="1">
      <c r="A31" s="638"/>
      <c r="B31" s="634"/>
      <c r="C31" s="640"/>
      <c r="D31" s="638"/>
      <c r="E31" s="634"/>
      <c r="F31" s="634"/>
      <c r="G31" s="634"/>
      <c r="H31" s="634"/>
      <c r="I31" s="634"/>
      <c r="J31" s="634"/>
      <c r="K31" s="636"/>
      <c r="L31" s="197" t="s">
        <v>116</v>
      </c>
      <c r="M31" s="198" t="s">
        <v>92</v>
      </c>
      <c r="N31" s="199" t="s">
        <v>93</v>
      </c>
      <c r="O31" s="200" t="s">
        <v>117</v>
      </c>
      <c r="S31" s="117"/>
    </row>
    <row r="32" spans="1:19" ht="44.5" customHeight="1">
      <c r="A32" s="521">
        <v>9</v>
      </c>
      <c r="B32" s="201" t="str">
        <f>A5</f>
        <v>20191121-ECA DAPA-HF 17m, FEVI 31+42DM [Dapa vs Pl],-MACE. McMurray</v>
      </c>
      <c r="C32" s="202" t="s">
        <v>118</v>
      </c>
      <c r="D32" s="203"/>
      <c r="E32" s="204">
        <f>H5</f>
        <v>1.4166666666666667</v>
      </c>
      <c r="F32" s="205" t="str">
        <f>P5</f>
        <v>133 / 1298</v>
      </c>
      <c r="G32" s="206">
        <f>L5</f>
        <v>7.2328469138040419E-2</v>
      </c>
      <c r="H32" s="205" t="str">
        <f>Q5</f>
        <v>151 / 1307</v>
      </c>
      <c r="I32" s="207">
        <f>M5</f>
        <v>8.1551825014627113E-2</v>
      </c>
      <c r="J32" s="208">
        <f>N5</f>
        <v>66.349999999999994</v>
      </c>
      <c r="K32" s="209">
        <v>0.41608962622609535</v>
      </c>
      <c r="L32" s="210" t="s">
        <v>397</v>
      </c>
      <c r="M32" s="211" t="s">
        <v>398</v>
      </c>
      <c r="N32" s="212" t="s">
        <v>399</v>
      </c>
      <c r="O32" s="18" t="s">
        <v>292</v>
      </c>
      <c r="Q32" s="27">
        <v>3.5</v>
      </c>
      <c r="R32" s="213">
        <f>Q32*K32</f>
        <v>1.4563136917913337</v>
      </c>
      <c r="S32" s="117"/>
    </row>
    <row r="33" spans="1:19" ht="44.5" customHeight="1" thickBot="1">
      <c r="A33" s="214"/>
      <c r="B33" s="201" t="str">
        <f>A6</f>
        <v>20211014-ECA Emperor-Pres 24m, FEVI 54+50DM, [Empa vs Pl], -ICC. Anker</v>
      </c>
      <c r="C33" s="202" t="s">
        <v>118</v>
      </c>
      <c r="D33" s="203"/>
      <c r="E33" s="204">
        <f>H6</f>
        <v>2</v>
      </c>
      <c r="F33" s="205" t="str">
        <f>P6</f>
        <v>188 / 1531</v>
      </c>
      <c r="G33" s="206">
        <f>L6</f>
        <v>6.1397779229261921E-2</v>
      </c>
      <c r="H33" s="205" t="str">
        <f>Q6</f>
        <v>201 / 1519</v>
      </c>
      <c r="I33" s="206">
        <f>M6</f>
        <v>6.6161948650427918E-2</v>
      </c>
      <c r="J33" s="208">
        <f>N6</f>
        <v>71.849999999999994</v>
      </c>
      <c r="K33" s="209">
        <v>0.58391037377390453</v>
      </c>
      <c r="L33" s="210" t="s">
        <v>267</v>
      </c>
      <c r="M33" s="211" t="s">
        <v>400</v>
      </c>
      <c r="N33" s="211" t="s">
        <v>401</v>
      </c>
      <c r="O33" s="18" t="s">
        <v>292</v>
      </c>
      <c r="Q33" s="27">
        <v>3.5</v>
      </c>
      <c r="R33" s="213">
        <f t="shared" ref="R33" si="10">Q33*K33</f>
        <v>2.0436863082086658</v>
      </c>
      <c r="S33" s="117"/>
    </row>
    <row r="34" spans="1:19" ht="21.5" thickBot="1">
      <c r="A34" s="215" t="s">
        <v>119</v>
      </c>
      <c r="B34" s="216">
        <f>COUNT(E32:E33)</f>
        <v>2</v>
      </c>
      <c r="C34" s="217"/>
      <c r="D34" s="218" t="s">
        <v>241</v>
      </c>
      <c r="E34" s="219">
        <f t="shared" ref="E34" si="11">H7</f>
        <v>1.7312849985263781</v>
      </c>
      <c r="F34" s="220" t="str">
        <f t="shared" ref="F34" si="12">P7</f>
        <v>321 / 2829</v>
      </c>
      <c r="G34" s="221">
        <f t="shared" ref="G34" si="13">L7</f>
        <v>6.5499064784900515E-2</v>
      </c>
      <c r="H34" s="220" t="str">
        <f t="shared" ref="H34" si="14">Q7</f>
        <v>352 / 2826</v>
      </c>
      <c r="I34" s="221">
        <f t="shared" ref="I34:J34" si="15">M7</f>
        <v>7.1989774179803998E-2</v>
      </c>
      <c r="J34" s="219">
        <f t="shared" si="15"/>
        <v>69.316401414677273</v>
      </c>
      <c r="K34" s="222">
        <v>1</v>
      </c>
      <c r="L34" s="601" t="s">
        <v>402</v>
      </c>
      <c r="M34" s="223"/>
      <c r="N34" s="224"/>
      <c r="O34" s="494" t="s">
        <v>294</v>
      </c>
      <c r="R34" s="225">
        <f>SUM(R32:R33)</f>
        <v>3.4999999999999996</v>
      </c>
      <c r="S34" s="117"/>
    </row>
    <row r="35" spans="1:19" ht="21.5" customHeight="1" thickBot="1">
      <c r="A35" s="226"/>
      <c r="B35" s="226"/>
      <c r="C35" s="227"/>
      <c r="D35" s="489" t="s">
        <v>224</v>
      </c>
      <c r="E35" s="229"/>
      <c r="F35" s="230"/>
      <c r="G35" s="231"/>
      <c r="H35" s="230"/>
      <c r="I35" s="232"/>
      <c r="J35" s="233"/>
      <c r="K35" s="490"/>
      <c r="L35" s="491"/>
      <c r="M35" s="492"/>
      <c r="N35" s="608" t="s">
        <v>486</v>
      </c>
      <c r="O35" s="493" t="s">
        <v>403</v>
      </c>
    </row>
    <row r="36" spans="1:19" ht="13.5" thickBot="1">
      <c r="A36" s="226"/>
      <c r="B36" s="226"/>
      <c r="C36" s="227"/>
      <c r="D36" s="228"/>
      <c r="E36" s="229"/>
      <c r="F36" s="230"/>
      <c r="G36" s="231"/>
      <c r="H36" s="230"/>
      <c r="I36" s="232"/>
      <c r="J36" s="233"/>
      <c r="K36" s="234"/>
      <c r="L36" s="223"/>
      <c r="M36" s="224"/>
      <c r="N36" s="224"/>
      <c r="O36" s="234"/>
    </row>
    <row r="37" spans="1:19" ht="47" thickBot="1">
      <c r="A37" s="235"/>
      <c r="B37" s="628" t="s">
        <v>120</v>
      </c>
      <c r="C37" s="629"/>
      <c r="D37" s="629"/>
      <c r="E37" s="629"/>
      <c r="F37" s="629"/>
      <c r="G37" s="629"/>
      <c r="H37" s="629"/>
      <c r="I37" s="630"/>
      <c r="J37" s="236" t="s">
        <v>121</v>
      </c>
      <c r="K37" s="237" t="s">
        <v>122</v>
      </c>
      <c r="L37" s="238" t="s">
        <v>116</v>
      </c>
      <c r="M37" s="239" t="s">
        <v>92</v>
      </c>
      <c r="N37" s="240" t="s">
        <v>93</v>
      </c>
      <c r="O37" s="224"/>
    </row>
    <row r="38" spans="1:19" ht="19.5" customHeight="1">
      <c r="A38" s="631" t="s">
        <v>123</v>
      </c>
      <c r="B38" s="241" t="s">
        <v>124</v>
      </c>
      <c r="C38" s="242">
        <f>I34</f>
        <v>7.1989774179803998E-2</v>
      </c>
      <c r="D38" s="243" t="s">
        <v>125</v>
      </c>
      <c r="E38" s="243"/>
      <c r="F38" s="243"/>
      <c r="G38" s="243"/>
      <c r="H38" s="244">
        <f>J34</f>
        <v>69.316401414677273</v>
      </c>
      <c r="I38" s="245" t="s">
        <v>126</v>
      </c>
      <c r="J38" s="246" t="s">
        <v>404</v>
      </c>
      <c r="K38" s="247" t="s">
        <v>405</v>
      </c>
      <c r="L38" s="602" t="s">
        <v>402</v>
      </c>
      <c r="M38" s="248" t="s">
        <v>406</v>
      </c>
      <c r="N38" s="248" t="s">
        <v>407</v>
      </c>
      <c r="O38" s="249" t="s">
        <v>127</v>
      </c>
    </row>
    <row r="39" spans="1:19" ht="19" thickBot="1">
      <c r="A39" s="632"/>
      <c r="B39" s="250" t="s">
        <v>124</v>
      </c>
      <c r="C39" s="251">
        <f>I34*E34</f>
        <v>0.12463481608479625</v>
      </c>
      <c r="D39" s="252" t="s">
        <v>128</v>
      </c>
      <c r="E39" s="253"/>
      <c r="F39" s="254"/>
      <c r="G39" s="255">
        <f>E34</f>
        <v>1.7312849985263781</v>
      </c>
      <c r="H39" s="252" t="s">
        <v>129</v>
      </c>
      <c r="I39" s="256"/>
      <c r="J39" s="257" t="s">
        <v>408</v>
      </c>
      <c r="K39" s="258" t="s">
        <v>409</v>
      </c>
      <c r="L39" s="603" t="s">
        <v>402</v>
      </c>
      <c r="M39" s="259" t="s">
        <v>410</v>
      </c>
      <c r="N39" s="259" t="s">
        <v>411</v>
      </c>
      <c r="O39" s="260" t="s">
        <v>412</v>
      </c>
      <c r="P39" s="15" t="s">
        <v>413</v>
      </c>
    </row>
    <row r="40" spans="1:19" ht="19" thickBot="1">
      <c r="A40" s="261"/>
      <c r="B40" s="262"/>
      <c r="C40" s="263"/>
      <c r="D40" s="264"/>
      <c r="E40" s="265"/>
      <c r="F40" s="266"/>
      <c r="G40" s="267"/>
      <c r="H40" s="264"/>
      <c r="I40" s="266"/>
      <c r="J40" s="268"/>
      <c r="K40" s="268"/>
      <c r="L40" s="269"/>
      <c r="M40" s="270"/>
      <c r="N40" s="270"/>
      <c r="O40" s="271"/>
    </row>
    <row r="41" spans="1:19" ht="19" thickBot="1">
      <c r="A41" s="272"/>
      <c r="B41" s="272"/>
      <c r="C41" s="234"/>
      <c r="D41" s="234"/>
      <c r="E41" s="234"/>
      <c r="F41" s="234"/>
      <c r="G41" s="234"/>
      <c r="H41" s="234"/>
      <c r="I41" s="273"/>
      <c r="J41" s="274"/>
      <c r="K41" s="275" t="s">
        <v>130</v>
      </c>
      <c r="L41" s="530" t="s">
        <v>331</v>
      </c>
      <c r="M41" s="276"/>
      <c r="N41" s="277"/>
      <c r="O41" s="278"/>
    </row>
    <row r="42" spans="1:19">
      <c r="A42" s="112"/>
      <c r="C42" s="1"/>
      <c r="I42" s="109" t="s">
        <v>131</v>
      </c>
      <c r="J42" s="279">
        <f>G39</f>
        <v>1.7312849985263781</v>
      </c>
      <c r="K42" s="279">
        <f>J42</f>
        <v>1.7312849985263781</v>
      </c>
    </row>
    <row r="43" spans="1:19">
      <c r="A43" s="112"/>
      <c r="C43" s="1"/>
      <c r="I43" s="15"/>
      <c r="J43" s="3" t="s">
        <v>81</v>
      </c>
      <c r="K43" s="3" t="s">
        <v>82</v>
      </c>
      <c r="L43" s="3" t="s">
        <v>132</v>
      </c>
    </row>
    <row r="44" spans="1:19" ht="17">
      <c r="I44" s="280" t="s">
        <v>263</v>
      </c>
      <c r="J44" s="604">
        <f>J38*100*J42</f>
        <v>11.357229590333041</v>
      </c>
      <c r="K44" s="604">
        <f>K38*100*K42</f>
        <v>12.465251989389921</v>
      </c>
      <c r="L44" s="605">
        <f>((J44*I7)+(K44*J7))/K7</f>
        <v>11.910604185086946</v>
      </c>
      <c r="M44" s="281"/>
      <c r="N44" s="281"/>
    </row>
    <row r="45" spans="1:19">
      <c r="B45" s="1"/>
      <c r="C45" s="1"/>
    </row>
    <row r="46" spans="1:19">
      <c r="B46" s="1"/>
      <c r="C46" s="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</sheetData>
  <mergeCells count="19">
    <mergeCell ref="L30:O30"/>
    <mergeCell ref="B37:I37"/>
    <mergeCell ref="A38:A39"/>
    <mergeCell ref="F30:F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  <mergeCell ref="B3:D3"/>
    <mergeCell ref="E3:G3"/>
    <mergeCell ref="I3:K3"/>
    <mergeCell ref="L3:M3"/>
    <mergeCell ref="D9:F9"/>
  </mergeCells>
  <pageMargins left="0.7" right="0.7" top="0.75" bottom="0.75" header="0.3" footer="0.3"/>
  <ignoredErrors>
    <ignoredError sqref="J38:K39" numberStoredAsText="1"/>
    <ignoredError sqref="H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9135-B357-457F-8D67-9A6EE086A959}">
  <dimension ref="A1:S65"/>
  <sheetViews>
    <sheetView zoomScale="70" zoomScaleNormal="70" workbookViewId="0"/>
  </sheetViews>
  <sheetFormatPr baseColWidth="10" defaultColWidth="16" defaultRowHeight="13"/>
  <cols>
    <col min="1" max="1" width="22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Mortalidad por causa cardiovascular, Subgr [+ - FEVIr, sin DM2], en 19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38" customHeight="1">
      <c r="A4" s="559" t="s">
        <v>378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106</v>
      </c>
      <c r="C5" s="563">
        <f>D5-B5</f>
        <v>1192</v>
      </c>
      <c r="D5" s="564">
        <v>1298</v>
      </c>
      <c r="E5" s="562">
        <v>125</v>
      </c>
      <c r="F5" s="563">
        <f>G5-E5</f>
        <v>1182</v>
      </c>
      <c r="G5" s="564">
        <v>1307</v>
      </c>
      <c r="H5" s="522">
        <v>1.4166666666666667</v>
      </c>
      <c r="I5" s="132">
        <f t="shared" ref="I5:I7" si="0">D5*H5</f>
        <v>1838.8333333333335</v>
      </c>
      <c r="J5" s="132">
        <f t="shared" ref="J5:J7" si="1">G5*H5</f>
        <v>1851.5833333333335</v>
      </c>
      <c r="K5" s="132">
        <f>I5+J5</f>
        <v>3690.416666666667</v>
      </c>
      <c r="L5" s="133">
        <f t="shared" ref="L5:L8" si="2">B5/I5</f>
        <v>5.7645246079941988E-2</v>
      </c>
      <c r="M5" s="133">
        <f t="shared" ref="M5:M8" si="3">E5/J5</f>
        <v>6.7509788919393313E-2</v>
      </c>
      <c r="N5" s="134">
        <v>66.349999999999994</v>
      </c>
      <c r="O5" s="615">
        <f>N5*(D5+G5)</f>
        <v>172841.74999999997</v>
      </c>
      <c r="P5" s="613" t="str">
        <f t="shared" ref="P5:P8" si="4">CONCATENATE(B5," ",$P$4," ",D5)</f>
        <v>106 / 1298</v>
      </c>
      <c r="Q5" s="613" t="str">
        <f t="shared" ref="Q5:Q8" si="5">CONCATENATE(E5," ",$Q$4," ",G5)</f>
        <v>125 / 1307</v>
      </c>
    </row>
    <row r="6" spans="1:19">
      <c r="A6" s="561" t="s">
        <v>230</v>
      </c>
      <c r="B6" s="562">
        <v>83</v>
      </c>
      <c r="C6" s="563">
        <f t="shared" ref="C6:C7" si="6">D6-B6</f>
        <v>853</v>
      </c>
      <c r="D6" s="564">
        <v>936</v>
      </c>
      <c r="E6" s="562">
        <v>89</v>
      </c>
      <c r="F6" s="563">
        <f t="shared" ref="F6:F7" si="7">G6-E6</f>
        <v>849</v>
      </c>
      <c r="G6" s="564">
        <v>938</v>
      </c>
      <c r="H6" s="522">
        <v>1.25</v>
      </c>
      <c r="I6" s="132">
        <f t="shared" si="0"/>
        <v>1170</v>
      </c>
      <c r="J6" s="132">
        <f t="shared" si="1"/>
        <v>1172.5</v>
      </c>
      <c r="K6" s="132">
        <f t="shared" ref="K6:K7" si="8">I6+J6</f>
        <v>2342.5</v>
      </c>
      <c r="L6" s="133">
        <f t="shared" si="2"/>
        <v>7.0940170940170938E-2</v>
      </c>
      <c r="M6" s="133">
        <f t="shared" si="3"/>
        <v>7.5906183368869937E-2</v>
      </c>
      <c r="N6" s="134">
        <v>66.849999999999994</v>
      </c>
      <c r="O6" s="615">
        <f t="shared" ref="O6:O7" si="9">N6*(D6+G6)</f>
        <v>125276.9</v>
      </c>
      <c r="P6" s="613" t="str">
        <f t="shared" si="4"/>
        <v>83 / 936</v>
      </c>
      <c r="Q6" s="613" t="str">
        <f t="shared" si="5"/>
        <v>89 / 938</v>
      </c>
    </row>
    <row r="7" spans="1:19">
      <c r="A7" s="561" t="s">
        <v>370</v>
      </c>
      <c r="B7" s="562">
        <v>99</v>
      </c>
      <c r="C7" s="563">
        <f t="shared" si="6"/>
        <v>1432</v>
      </c>
      <c r="D7" s="564">
        <v>1531</v>
      </c>
      <c r="E7" s="562">
        <v>121</v>
      </c>
      <c r="F7" s="563">
        <f t="shared" si="7"/>
        <v>1398</v>
      </c>
      <c r="G7" s="564">
        <v>1519</v>
      </c>
      <c r="H7" s="522">
        <v>2</v>
      </c>
      <c r="I7" s="132">
        <f t="shared" si="0"/>
        <v>3062</v>
      </c>
      <c r="J7" s="132">
        <f t="shared" si="1"/>
        <v>3038</v>
      </c>
      <c r="K7" s="132">
        <f t="shared" si="8"/>
        <v>6100</v>
      </c>
      <c r="L7" s="133">
        <f t="shared" si="2"/>
        <v>3.2331809274983671E-2</v>
      </c>
      <c r="M7" s="133">
        <f t="shared" si="3"/>
        <v>3.9828834759710337E-2</v>
      </c>
      <c r="N7" s="134">
        <v>71.849999999999994</v>
      </c>
      <c r="O7" s="615">
        <f t="shared" si="9"/>
        <v>219142.49999999997</v>
      </c>
      <c r="P7" s="613" t="str">
        <f t="shared" si="4"/>
        <v>99 / 1531</v>
      </c>
      <c r="Q7" s="613" t="str">
        <f t="shared" si="5"/>
        <v>121 / 1519</v>
      </c>
    </row>
    <row r="8" spans="1:19">
      <c r="A8" s="600">
        <f>COUNT(D5:D7)</f>
        <v>3</v>
      </c>
      <c r="B8" s="136">
        <f>SUM(B5:B7)</f>
        <v>288</v>
      </c>
      <c r="C8" s="137"/>
      <c r="D8" s="136">
        <f>SUM(D5:D7)</f>
        <v>3765</v>
      </c>
      <c r="E8" s="136">
        <f>SUM(E5:E7)</f>
        <v>335</v>
      </c>
      <c r="F8" s="137"/>
      <c r="G8" s="136">
        <f>SUM(G5:G7)</f>
        <v>3764</v>
      </c>
      <c r="H8" s="523">
        <f>K8/(D8+G8)</f>
        <v>1.6114911232124676</v>
      </c>
      <c r="I8" s="138">
        <f>SUM(I5:I7)</f>
        <v>6070.8333333333339</v>
      </c>
      <c r="J8" s="138">
        <f>SUM(J5:J7)</f>
        <v>6062.0833333333339</v>
      </c>
      <c r="K8" s="138">
        <f>SUM(K5:K7)</f>
        <v>12132.916666666668</v>
      </c>
      <c r="L8" s="139">
        <f t="shared" si="2"/>
        <v>4.7439945092656137E-2</v>
      </c>
      <c r="M8" s="139">
        <f t="shared" si="3"/>
        <v>5.5261530002061993E-2</v>
      </c>
      <c r="N8" s="140">
        <f>O8/(D8+G8)</f>
        <v>68.702503652543484</v>
      </c>
      <c r="O8" s="616">
        <f>SUM(O5:O7)</f>
        <v>517261.14999999991</v>
      </c>
      <c r="P8" s="617" t="str">
        <f t="shared" si="4"/>
        <v>288 / 3765</v>
      </c>
      <c r="Q8" s="617" t="str">
        <f t="shared" si="5"/>
        <v>335 / 3764</v>
      </c>
    </row>
    <row r="9" spans="1:19" ht="15" thickBot="1">
      <c r="B9" s="1"/>
      <c r="C9" s="1"/>
      <c r="E9" s="141"/>
      <c r="F9" s="11"/>
      <c r="S9" s="117"/>
    </row>
    <row r="10" spans="1:19" ht="15" thickBot="1">
      <c r="B10" s="142" t="s">
        <v>85</v>
      </c>
      <c r="C10" s="143">
        <v>8.9053465053462358E-2</v>
      </c>
      <c r="D10" s="644" t="s">
        <v>86</v>
      </c>
      <c r="E10" s="645"/>
      <c r="F10" s="646"/>
      <c r="S10" s="117"/>
    </row>
    <row r="11" spans="1:19" ht="26.5" thickBot="1">
      <c r="A11" s="144">
        <f>I36</f>
        <v>5.5261530002061993E-2</v>
      </c>
      <c r="B11" s="121" t="s">
        <v>87</v>
      </c>
      <c r="C11" s="15"/>
      <c r="D11" s="145" t="s">
        <v>88</v>
      </c>
      <c r="E11" s="146" t="s">
        <v>89</v>
      </c>
      <c r="F11" s="145" t="s">
        <v>90</v>
      </c>
      <c r="S11" s="117"/>
    </row>
    <row r="12" spans="1:19" ht="15" thickBot="1">
      <c r="A12" s="147">
        <f>E36</f>
        <v>1.6114911232124676</v>
      </c>
      <c r="B12" s="148" t="s">
        <v>91</v>
      </c>
      <c r="C12" s="15"/>
      <c r="D12" s="149">
        <v>0.8605017970073775</v>
      </c>
      <c r="E12" s="150">
        <v>0.74001340200248222</v>
      </c>
      <c r="F12" s="606">
        <v>1.000610790490974</v>
      </c>
      <c r="G12" s="15"/>
      <c r="S12" s="117"/>
    </row>
    <row r="13" spans="1:19" ht="14.5" hidden="1">
      <c r="A13" s="152"/>
      <c r="B13" s="153"/>
      <c r="C13" s="1"/>
      <c r="S13" s="117"/>
    </row>
    <row r="14" spans="1:19" ht="15" hidden="1" thickBot="1">
      <c r="A14" s="152"/>
      <c r="B14" s="154"/>
      <c r="C14" s="155"/>
      <c r="D14" s="156">
        <f>C10*D12</f>
        <v>7.6630666708238052E-2</v>
      </c>
      <c r="E14" s="157">
        <f>C10*E12</f>
        <v>6.5900757634321835E-2</v>
      </c>
      <c r="F14" s="158">
        <f>C10*F12</f>
        <v>8.9107858063105297E-2</v>
      </c>
      <c r="S14" s="117"/>
    </row>
    <row r="15" spans="1:19" ht="14.5" hidden="1">
      <c r="A15" s="152"/>
      <c r="B15" s="153"/>
      <c r="C15" s="1"/>
      <c r="S15" s="117"/>
    </row>
    <row r="16" spans="1:19" ht="15" hidden="1" thickBot="1">
      <c r="A16" s="152"/>
      <c r="B16" s="159"/>
      <c r="C16" s="160" t="s">
        <v>92</v>
      </c>
      <c r="D16" s="161">
        <f>C10-D14</f>
        <v>1.2422798345224306E-2</v>
      </c>
      <c r="E16" s="162">
        <f>C10-F14</f>
        <v>-5.4393009642939028E-5</v>
      </c>
      <c r="F16" s="163">
        <f>C10-E14</f>
        <v>2.3152707419140522E-2</v>
      </c>
      <c r="S16" s="117"/>
    </row>
    <row r="17" spans="1:19" ht="15" hidden="1" thickBot="1">
      <c r="A17" s="152"/>
      <c r="B17" s="164"/>
      <c r="C17" s="165" t="s">
        <v>93</v>
      </c>
      <c r="D17" s="166">
        <f>1/D16</f>
        <v>80.49716112347825</v>
      </c>
      <c r="E17" s="167">
        <f>1/F16</f>
        <v>43.191492981649837</v>
      </c>
      <c r="F17" s="168">
        <f>1/E16</f>
        <v>-18384.715362589133</v>
      </c>
      <c r="S17" s="117"/>
    </row>
    <row r="18" spans="1:19" ht="14.5" hidden="1">
      <c r="A18" s="152"/>
      <c r="B18" s="153"/>
      <c r="C18" s="15"/>
      <c r="D18" s="15"/>
      <c r="E18" s="15"/>
      <c r="F18" s="15"/>
      <c r="S18" s="117"/>
    </row>
    <row r="19" spans="1:19" ht="14.5" hidden="1">
      <c r="A19" s="152"/>
      <c r="B19" s="169" t="s">
        <v>94</v>
      </c>
      <c r="C19" s="170"/>
      <c r="D19" s="170"/>
      <c r="E19" s="171">
        <f>ROUND(D12,2)</f>
        <v>0.86</v>
      </c>
      <c r="F19" s="172">
        <f>ROUND(D16,4)</f>
        <v>1.24E-2</v>
      </c>
      <c r="G19" s="173">
        <f>ROUND(D17,0)</f>
        <v>80</v>
      </c>
      <c r="S19" s="117"/>
    </row>
    <row r="20" spans="1:19" ht="14.5" hidden="1">
      <c r="A20" s="152"/>
      <c r="B20" s="174" t="s">
        <v>95</v>
      </c>
      <c r="C20" s="175">
        <f>ROUND(D14,4)</f>
        <v>7.6600000000000001E-2</v>
      </c>
      <c r="D20" s="176">
        <f>ROUND(C10,4)</f>
        <v>8.9099999999999999E-2</v>
      </c>
      <c r="E20" s="177">
        <f>ROUND(E12,2)</f>
        <v>0.74</v>
      </c>
      <c r="F20" s="178">
        <f>ROUND(E16,4)</f>
        <v>-1E-4</v>
      </c>
      <c r="G20" s="179">
        <f>ROUND(E17,0)</f>
        <v>43</v>
      </c>
      <c r="S20" s="117"/>
    </row>
    <row r="21" spans="1:19" ht="14.5" hidden="1">
      <c r="A21" s="152"/>
      <c r="B21" s="174" t="s">
        <v>96</v>
      </c>
      <c r="C21" s="180"/>
      <c r="D21" s="180"/>
      <c r="E21" s="177">
        <f>ROUND(F12,2)</f>
        <v>1</v>
      </c>
      <c r="F21" s="178">
        <f>ROUND(F16,4)</f>
        <v>2.3199999999999998E-2</v>
      </c>
      <c r="G21" s="179">
        <f>ROUND(F17,0)</f>
        <v>-18385</v>
      </c>
      <c r="S21" s="117"/>
    </row>
    <row r="22" spans="1:19" ht="14.5" hidden="1">
      <c r="A22" s="152"/>
      <c r="B22" s="174" t="s">
        <v>97</v>
      </c>
      <c r="C22" s="181" t="s">
        <v>98</v>
      </c>
      <c r="D22" s="181" t="s">
        <v>99</v>
      </c>
      <c r="E22" s="182" t="s">
        <v>100</v>
      </c>
      <c r="F22" s="182" t="s">
        <v>101</v>
      </c>
      <c r="G22" s="181" t="s">
        <v>93</v>
      </c>
      <c r="S22" s="117"/>
    </row>
    <row r="23" spans="1:19" ht="14.5" hidden="1">
      <c r="A23" s="152"/>
      <c r="B23" s="183" t="s">
        <v>102</v>
      </c>
      <c r="C23" s="181" t="str">
        <f>CONCATENATE(C20*100,B22)</f>
        <v>7,66%</v>
      </c>
      <c r="D23" s="181" t="str">
        <f>CONCATENATE(D20*100,B22)</f>
        <v>8,91%</v>
      </c>
      <c r="E23" s="181" t="str">
        <f>CONCATENATE(E19," ",B19,E20,B20,E21,B21)</f>
        <v>0,86 (0,74-1)</v>
      </c>
      <c r="F23" s="181" t="str">
        <f>CONCATENATE(F19*100,B22," ",B19,F20*100,B22," ",B23," ",F21*100,B22,B21)</f>
        <v>1,24% (-0,01% a 2,32%)</v>
      </c>
      <c r="G23" s="181" t="str">
        <f>CONCATENATE(G19," ",B19,G20," ",B23," ",G21,B21)</f>
        <v>80 (43 a -18385)</v>
      </c>
      <c r="S23" s="117"/>
    </row>
    <row r="24" spans="1:19" ht="14.5" hidden="1">
      <c r="A24" s="184"/>
      <c r="B24" s="153"/>
      <c r="D24" s="112"/>
      <c r="E24" s="112"/>
      <c r="F24" s="112"/>
      <c r="G24" s="112"/>
      <c r="S24" s="117"/>
    </row>
    <row r="25" spans="1:19" ht="15" thickBot="1">
      <c r="A25" s="144">
        <f>A11*A12</f>
        <v>8.9053465053462358E-2</v>
      </c>
      <c r="B25" s="121" t="s">
        <v>103</v>
      </c>
      <c r="C25" s="1"/>
      <c r="S25" s="117"/>
    </row>
    <row r="26" spans="1:19" ht="15" thickBot="1">
      <c r="A26" s="185"/>
      <c r="B26" s="1"/>
      <c r="C26" s="186" t="s">
        <v>104</v>
      </c>
      <c r="D26" s="187" t="s">
        <v>99</v>
      </c>
      <c r="E26" s="187" t="s">
        <v>100</v>
      </c>
      <c r="F26" s="187" t="s">
        <v>92</v>
      </c>
      <c r="G26" s="188" t="s">
        <v>93</v>
      </c>
      <c r="S26" s="117"/>
    </row>
    <row r="27" spans="1:19" ht="26.5" thickBot="1">
      <c r="A27" s="189"/>
      <c r="B27" s="190"/>
      <c r="C27" s="191" t="str">
        <f>C23</f>
        <v>7,66%</v>
      </c>
      <c r="D27" s="192" t="str">
        <f>D23</f>
        <v>8,91%</v>
      </c>
      <c r="E27" s="192" t="str">
        <f>E23</f>
        <v>0,86 (0,74-1)</v>
      </c>
      <c r="F27" s="192" t="str">
        <f>F23</f>
        <v>1,24% (-0,01% a 2,32%)</v>
      </c>
      <c r="G27" s="193" t="str">
        <f>G23</f>
        <v>80 (43 a -18385)</v>
      </c>
      <c r="S27" s="117"/>
    </row>
    <row r="28" spans="1:19" ht="14.5">
      <c r="B28" s="1"/>
      <c r="C28" s="1"/>
      <c r="E28" s="141"/>
      <c r="F28" s="11"/>
      <c r="S28" s="117"/>
    </row>
    <row r="29" spans="1:19" ht="15" thickBot="1">
      <c r="D29" s="141"/>
      <c r="E29" s="141"/>
      <c r="S29" s="117"/>
    </row>
    <row r="30" spans="1:19" ht="34.5" customHeight="1" thickBot="1">
      <c r="A30" s="558" t="s">
        <v>414</v>
      </c>
      <c r="B30" s="194" t="str">
        <f>B2</f>
        <v>Mortalidad por causa cardiovascular, Subgr [+ - FEVIr, sin DM2], en 19 meses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S30" s="117"/>
    </row>
    <row r="31" spans="1:19" ht="36" customHeight="1" thickBot="1">
      <c r="A31" s="637" t="s">
        <v>105</v>
      </c>
      <c r="B31" s="633" t="s">
        <v>106</v>
      </c>
      <c r="C31" s="639" t="s">
        <v>107</v>
      </c>
      <c r="D31" s="637" t="s">
        <v>233</v>
      </c>
      <c r="E31" s="633" t="s">
        <v>108</v>
      </c>
      <c r="F31" s="633" t="s">
        <v>109</v>
      </c>
      <c r="G31" s="633" t="s">
        <v>110</v>
      </c>
      <c r="H31" s="633" t="s">
        <v>111</v>
      </c>
      <c r="I31" s="633" t="s">
        <v>112</v>
      </c>
      <c r="J31" s="633" t="s">
        <v>113</v>
      </c>
      <c r="K31" s="635" t="s">
        <v>114</v>
      </c>
      <c r="L31" s="625" t="s">
        <v>115</v>
      </c>
      <c r="M31" s="626"/>
      <c r="N31" s="626"/>
      <c r="O31" s="627"/>
      <c r="S31" s="117"/>
    </row>
    <row r="32" spans="1:19" ht="43.5" customHeight="1" thickBot="1">
      <c r="A32" s="638"/>
      <c r="B32" s="634"/>
      <c r="C32" s="640"/>
      <c r="D32" s="638"/>
      <c r="E32" s="634"/>
      <c r="F32" s="634"/>
      <c r="G32" s="634"/>
      <c r="H32" s="634"/>
      <c r="I32" s="634"/>
      <c r="J32" s="634"/>
      <c r="K32" s="636"/>
      <c r="L32" s="197" t="s">
        <v>116</v>
      </c>
      <c r="M32" s="198" t="s">
        <v>92</v>
      </c>
      <c r="N32" s="199" t="s">
        <v>93</v>
      </c>
      <c r="O32" s="200" t="s">
        <v>117</v>
      </c>
      <c r="S32" s="117"/>
    </row>
    <row r="33" spans="1:19" ht="44.5" customHeight="1">
      <c r="A33" s="521">
        <v>9</v>
      </c>
      <c r="B33" s="201" t="str">
        <f>A5</f>
        <v>20191121-ECA DAPA-HF 17m, FEVI 31+42DM [Dapa vs Pl],-MACE. McMurray</v>
      </c>
      <c r="C33" s="202" t="s">
        <v>118</v>
      </c>
      <c r="D33" s="203"/>
      <c r="E33" s="204">
        <f>H5</f>
        <v>1.4166666666666667</v>
      </c>
      <c r="F33" s="205" t="str">
        <f>P5</f>
        <v>106 / 1298</v>
      </c>
      <c r="G33" s="206">
        <f>L5</f>
        <v>5.7645246079941988E-2</v>
      </c>
      <c r="H33" s="205" t="str">
        <f>Q5</f>
        <v>125 / 1307</v>
      </c>
      <c r="I33" s="207">
        <f t="shared" ref="I33:J36" si="10">M5</f>
        <v>6.7509788919393313E-2</v>
      </c>
      <c r="J33" s="208">
        <f t="shared" si="10"/>
        <v>66.349999999999994</v>
      </c>
      <c r="K33" s="209">
        <v>0.37258480001743399</v>
      </c>
      <c r="L33" s="210" t="s">
        <v>415</v>
      </c>
      <c r="M33" s="211" t="s">
        <v>416</v>
      </c>
      <c r="N33" s="212" t="s">
        <v>417</v>
      </c>
      <c r="O33" s="18" t="s">
        <v>292</v>
      </c>
      <c r="Q33" s="27">
        <v>3.5</v>
      </c>
      <c r="R33" s="213">
        <f>Q33*K33</f>
        <v>1.304046800061019</v>
      </c>
      <c r="S33" s="117"/>
    </row>
    <row r="34" spans="1:19" ht="44.5" customHeight="1">
      <c r="A34" s="214"/>
      <c r="B34" s="201" t="str">
        <f>A6</f>
        <v>20201008-ECA EMPEROR-red 15m, FEVI 27+50DM [Empa vs Pl], -MACE. Packer</v>
      </c>
      <c r="C34" s="202" t="s">
        <v>118</v>
      </c>
      <c r="D34" s="203"/>
      <c r="E34" s="204">
        <f>H6</f>
        <v>1.25</v>
      </c>
      <c r="F34" s="205" t="str">
        <f>P6</f>
        <v>83 / 936</v>
      </c>
      <c r="G34" s="206">
        <f>L6</f>
        <v>7.0940170940170938E-2</v>
      </c>
      <c r="H34" s="205" t="str">
        <f>Q6</f>
        <v>89 / 938</v>
      </c>
      <c r="I34" s="206">
        <f t="shared" si="10"/>
        <v>7.5906183368869937E-2</v>
      </c>
      <c r="J34" s="208">
        <f t="shared" si="10"/>
        <v>66.849999999999994</v>
      </c>
      <c r="K34" s="209">
        <v>0.28007596837998672</v>
      </c>
      <c r="L34" s="210" t="s">
        <v>418</v>
      </c>
      <c r="M34" s="211" t="s">
        <v>419</v>
      </c>
      <c r="N34" s="211" t="s">
        <v>420</v>
      </c>
      <c r="O34" s="18" t="s">
        <v>292</v>
      </c>
      <c r="Q34" s="27">
        <v>3.5</v>
      </c>
      <c r="R34" s="213">
        <f t="shared" ref="R34:R35" si="11">Q34*K34</f>
        <v>0.98026588932995351</v>
      </c>
      <c r="S34" s="117"/>
    </row>
    <row r="35" spans="1:19" ht="44.5" customHeight="1" thickBot="1">
      <c r="A35" s="214"/>
      <c r="B35" s="201" t="str">
        <f>A7</f>
        <v>20211014-ECA Emperor-Pres 24m, FEVI 54+50DM, [Empa vs Pl], -ICC. Anker</v>
      </c>
      <c r="C35" s="202" t="s">
        <v>118</v>
      </c>
      <c r="D35" s="203"/>
      <c r="E35" s="204">
        <f>H7</f>
        <v>2</v>
      </c>
      <c r="F35" s="205" t="str">
        <f>P7</f>
        <v>99 / 1531</v>
      </c>
      <c r="G35" s="206">
        <f>L7</f>
        <v>3.2331809274983671E-2</v>
      </c>
      <c r="H35" s="205" t="str">
        <f>Q7</f>
        <v>121 / 1519</v>
      </c>
      <c r="I35" s="206">
        <f t="shared" si="10"/>
        <v>3.9828834759710337E-2</v>
      </c>
      <c r="J35" s="208">
        <f t="shared" si="10"/>
        <v>71.849999999999994</v>
      </c>
      <c r="K35" s="209">
        <v>0.34733923160257935</v>
      </c>
      <c r="L35" s="210" t="s">
        <v>421</v>
      </c>
      <c r="M35" s="211" t="s">
        <v>422</v>
      </c>
      <c r="N35" s="211" t="s">
        <v>423</v>
      </c>
      <c r="O35" s="18" t="s">
        <v>292</v>
      </c>
      <c r="Q35" s="27">
        <v>3.5</v>
      </c>
      <c r="R35" s="213">
        <f t="shared" si="11"/>
        <v>1.2156873106090278</v>
      </c>
      <c r="S35" s="117"/>
    </row>
    <row r="36" spans="1:19" ht="21.5" thickBot="1">
      <c r="A36" s="215" t="s">
        <v>119</v>
      </c>
      <c r="B36" s="216">
        <f>COUNT(E33:E35)</f>
        <v>3</v>
      </c>
      <c r="C36" s="217"/>
      <c r="D36" s="218" t="s">
        <v>241</v>
      </c>
      <c r="E36" s="219">
        <f>H8</f>
        <v>1.6114911232124676</v>
      </c>
      <c r="F36" s="220" t="str">
        <f>P8</f>
        <v>288 / 3765</v>
      </c>
      <c r="G36" s="221">
        <f>L8</f>
        <v>4.7439945092656137E-2</v>
      </c>
      <c r="H36" s="220" t="str">
        <f>Q8</f>
        <v>335 / 3764</v>
      </c>
      <c r="I36" s="221">
        <f t="shared" si="10"/>
        <v>5.5261530002061993E-2</v>
      </c>
      <c r="J36" s="219">
        <f t="shared" si="10"/>
        <v>68.702503652543484</v>
      </c>
      <c r="K36" s="222">
        <v>1</v>
      </c>
      <c r="L36" s="607" t="s">
        <v>424</v>
      </c>
      <c r="M36" s="223"/>
      <c r="N36" s="224"/>
      <c r="O36" s="494" t="s">
        <v>294</v>
      </c>
      <c r="R36" s="225">
        <f>SUM(R33:R35)</f>
        <v>3.5000000000000004</v>
      </c>
      <c r="S36" s="117"/>
    </row>
    <row r="37" spans="1:19" ht="21.5" customHeight="1" thickBot="1">
      <c r="A37" s="226"/>
      <c r="B37" s="226"/>
      <c r="C37" s="227"/>
      <c r="D37" s="489" t="s">
        <v>224</v>
      </c>
      <c r="E37" s="229"/>
      <c r="F37" s="230"/>
      <c r="G37" s="231"/>
      <c r="H37" s="230"/>
      <c r="I37" s="232"/>
      <c r="J37" s="233"/>
      <c r="K37" s="490"/>
      <c r="L37" s="491"/>
      <c r="M37" s="492"/>
      <c r="N37" s="608" t="s">
        <v>425</v>
      </c>
      <c r="O37" s="493" t="s">
        <v>426</v>
      </c>
    </row>
    <row r="38" spans="1:19" ht="13.5" thickBot="1">
      <c r="A38" s="226"/>
      <c r="B38" s="226"/>
      <c r="C38" s="227"/>
      <c r="D38" s="228"/>
      <c r="E38" s="229"/>
      <c r="F38" s="230"/>
      <c r="G38" s="231"/>
      <c r="H38" s="230"/>
      <c r="I38" s="232"/>
      <c r="J38" s="233"/>
      <c r="K38" s="234"/>
      <c r="L38" s="223"/>
      <c r="M38" s="224"/>
      <c r="N38" s="224"/>
      <c r="O38" s="234"/>
    </row>
    <row r="39" spans="1:19" ht="47" thickBot="1">
      <c r="A39" s="235"/>
      <c r="B39" s="628" t="s">
        <v>120</v>
      </c>
      <c r="C39" s="629"/>
      <c r="D39" s="629"/>
      <c r="E39" s="629"/>
      <c r="F39" s="629"/>
      <c r="G39" s="629"/>
      <c r="H39" s="629"/>
      <c r="I39" s="630"/>
      <c r="J39" s="236" t="s">
        <v>121</v>
      </c>
      <c r="K39" s="237" t="s">
        <v>122</v>
      </c>
      <c r="L39" s="238" t="s">
        <v>116</v>
      </c>
      <c r="M39" s="239" t="s">
        <v>92</v>
      </c>
      <c r="N39" s="240" t="s">
        <v>93</v>
      </c>
      <c r="O39" s="224"/>
    </row>
    <row r="40" spans="1:19" ht="19.5" customHeight="1" thickBot="1">
      <c r="A40" s="631" t="s">
        <v>123</v>
      </c>
      <c r="B40" s="241" t="s">
        <v>124</v>
      </c>
      <c r="C40" s="242">
        <f>I36</f>
        <v>5.5261530002061993E-2</v>
      </c>
      <c r="D40" s="243" t="s">
        <v>125</v>
      </c>
      <c r="E40" s="243"/>
      <c r="F40" s="243"/>
      <c r="G40" s="243"/>
      <c r="H40" s="244">
        <f>J36</f>
        <v>68.702503652543484</v>
      </c>
      <c r="I40" s="245" t="s">
        <v>126</v>
      </c>
      <c r="J40" s="246" t="s">
        <v>427</v>
      </c>
      <c r="K40" s="247" t="s">
        <v>428</v>
      </c>
      <c r="L40" s="602" t="s">
        <v>424</v>
      </c>
      <c r="M40" s="248" t="s">
        <v>429</v>
      </c>
      <c r="N40" s="248" t="s">
        <v>430</v>
      </c>
      <c r="O40" s="249" t="s">
        <v>127</v>
      </c>
    </row>
    <row r="41" spans="1:19" ht="19" thickBot="1">
      <c r="A41" s="632"/>
      <c r="B41" s="250" t="s">
        <v>124</v>
      </c>
      <c r="C41" s="251">
        <f>I36*E36</f>
        <v>8.9053465053462358E-2</v>
      </c>
      <c r="D41" s="252" t="s">
        <v>128</v>
      </c>
      <c r="E41" s="253"/>
      <c r="F41" s="254"/>
      <c r="G41" s="255">
        <f>E36</f>
        <v>1.6114911232124676</v>
      </c>
      <c r="H41" s="252" t="s">
        <v>129</v>
      </c>
      <c r="I41" s="256"/>
      <c r="J41" s="257" t="s">
        <v>431</v>
      </c>
      <c r="K41" s="258" t="s">
        <v>432</v>
      </c>
      <c r="L41" s="602" t="s">
        <v>424</v>
      </c>
      <c r="M41" s="259" t="s">
        <v>433</v>
      </c>
      <c r="N41" s="259" t="s">
        <v>434</v>
      </c>
      <c r="O41" s="260" t="s">
        <v>300</v>
      </c>
      <c r="P41" s="15" t="s">
        <v>435</v>
      </c>
    </row>
    <row r="42" spans="1:19" ht="19" thickBot="1">
      <c r="A42" s="261"/>
      <c r="B42" s="262"/>
      <c r="C42" s="263"/>
      <c r="D42" s="264"/>
      <c r="E42" s="265"/>
      <c r="F42" s="266"/>
      <c r="G42" s="267"/>
      <c r="H42" s="264"/>
      <c r="I42" s="266"/>
      <c r="J42" s="268"/>
      <c r="K42" s="268"/>
      <c r="L42" s="269"/>
      <c r="M42" s="270"/>
      <c r="N42" s="270"/>
      <c r="O42" s="271"/>
    </row>
    <row r="43" spans="1:19" ht="19" thickBot="1">
      <c r="A43" s="272"/>
      <c r="B43" s="272"/>
      <c r="C43" s="234"/>
      <c r="D43" s="234"/>
      <c r="E43" s="234"/>
      <c r="F43" s="234"/>
      <c r="G43" s="234"/>
      <c r="H43" s="234"/>
      <c r="I43" s="273"/>
      <c r="J43" s="274"/>
      <c r="K43" s="275" t="s">
        <v>130</v>
      </c>
      <c r="L43" s="530" t="s">
        <v>436</v>
      </c>
      <c r="M43" s="276"/>
      <c r="N43" s="277"/>
      <c r="O43" s="278"/>
    </row>
    <row r="44" spans="1:19">
      <c r="A44" s="112"/>
      <c r="C44" s="1"/>
      <c r="I44" s="109" t="s">
        <v>131</v>
      </c>
      <c r="J44" s="279">
        <f>G41</f>
        <v>1.6114911232124676</v>
      </c>
      <c r="K44" s="279">
        <f>J44</f>
        <v>1.6114911232124676</v>
      </c>
    </row>
    <row r="45" spans="1:19">
      <c r="A45" s="112"/>
      <c r="C45" s="1"/>
      <c r="I45" s="15"/>
      <c r="J45" s="3" t="s">
        <v>81</v>
      </c>
      <c r="K45" s="3" t="s">
        <v>82</v>
      </c>
      <c r="L45" s="3" t="s">
        <v>132</v>
      </c>
    </row>
    <row r="46" spans="1:19" ht="17">
      <c r="I46" s="280" t="s">
        <v>263</v>
      </c>
      <c r="J46" s="604">
        <f>J40*100*J44</f>
        <v>7.6706977464913466</v>
      </c>
      <c r="K46" s="604">
        <f>K40*100*K44</f>
        <v>8.9115459113649464</v>
      </c>
      <c r="L46" s="605">
        <f>((J46*I8)+(K46*J8))/K8</f>
        <v>8.2906743923495831</v>
      </c>
      <c r="M46" s="281"/>
      <c r="N46" s="28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19"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  <mergeCell ref="B3:D3"/>
    <mergeCell ref="E3:G3"/>
    <mergeCell ref="I3:K3"/>
    <mergeCell ref="L3:M3"/>
    <mergeCell ref="D10:F10"/>
  </mergeCells>
  <pageMargins left="0.7" right="0.7" top="0.75" bottom="0.75" header="0.3" footer="0.3"/>
  <ignoredErrors>
    <ignoredError sqref="J40:K41" numberStoredAsText="1"/>
    <ignoredError sqref="H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B3D6-574F-4FD8-BDA3-E738A366835E}">
  <dimension ref="A1:S65"/>
  <sheetViews>
    <sheetView zoomScale="70" zoomScaleNormal="70" workbookViewId="0"/>
  </sheetViews>
  <sheetFormatPr baseColWidth="10" defaultColWidth="16" defaultRowHeight="13"/>
  <cols>
    <col min="1" max="1" width="24.45312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Hospitalización por Insuficiencia cardíaca, Subgr [+ - FEVIr, sin DM2], en 19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46.5" customHeight="1">
      <c r="A4" s="559" t="s">
        <v>383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93</v>
      </c>
      <c r="C5" s="563">
        <f>D5-B5</f>
        <v>1205</v>
      </c>
      <c r="D5" s="564">
        <v>1298</v>
      </c>
      <c r="E5" s="562">
        <v>146</v>
      </c>
      <c r="F5" s="563">
        <f>G5-E5</f>
        <v>1161</v>
      </c>
      <c r="G5" s="564">
        <v>1307</v>
      </c>
      <c r="H5" s="522">
        <v>1.4166666666666667</v>
      </c>
      <c r="I5" s="132">
        <f t="shared" ref="I5:I7" si="0">D5*H5</f>
        <v>1838.8333333333335</v>
      </c>
      <c r="J5" s="132">
        <f t="shared" ref="J5:J7" si="1">G5*H5</f>
        <v>1851.5833333333335</v>
      </c>
      <c r="K5" s="132">
        <f>I5+J5</f>
        <v>3690.416666666667</v>
      </c>
      <c r="L5" s="133">
        <f t="shared" ref="L5:L8" si="2">B5/I5</f>
        <v>5.0575546089005705E-2</v>
      </c>
      <c r="M5" s="133">
        <f t="shared" ref="M5:M8" si="3">E5/J5</f>
        <v>7.885143345785138E-2</v>
      </c>
      <c r="N5" s="134">
        <v>66.349999999999994</v>
      </c>
      <c r="O5" s="615">
        <f>N5*(D5+G5)</f>
        <v>172841.74999999997</v>
      </c>
      <c r="P5" s="613" t="str">
        <f t="shared" ref="P5:P8" si="4">CONCATENATE(B5," ",$P$4," ",D5)</f>
        <v>93 / 1298</v>
      </c>
      <c r="Q5" s="613" t="str">
        <f t="shared" ref="Q5:Q8" si="5">CONCATENATE(E5," ",$Q$4," ",G5)</f>
        <v>146 / 1307</v>
      </c>
    </row>
    <row r="6" spans="1:19">
      <c r="A6" s="561" t="s">
        <v>230</v>
      </c>
      <c r="B6" s="562">
        <v>106</v>
      </c>
      <c r="C6" s="563">
        <f t="shared" ref="C6:C7" si="6">D6-B6</f>
        <v>830</v>
      </c>
      <c r="D6" s="564">
        <v>936</v>
      </c>
      <c r="E6" s="562">
        <v>141</v>
      </c>
      <c r="F6" s="563">
        <f t="shared" ref="F6:F7" si="7">G6-E6</f>
        <v>797</v>
      </c>
      <c r="G6" s="564">
        <v>938</v>
      </c>
      <c r="H6" s="522">
        <v>1.25</v>
      </c>
      <c r="I6" s="132">
        <f t="shared" si="0"/>
        <v>1170</v>
      </c>
      <c r="J6" s="132">
        <f t="shared" si="1"/>
        <v>1172.5</v>
      </c>
      <c r="K6" s="132">
        <f t="shared" ref="K6:K7" si="8">I6+J6</f>
        <v>2342.5</v>
      </c>
      <c r="L6" s="133">
        <f t="shared" si="2"/>
        <v>9.0598290598290596E-2</v>
      </c>
      <c r="M6" s="133">
        <f t="shared" si="3"/>
        <v>0.12025586353944563</v>
      </c>
      <c r="N6" s="134">
        <v>66.849999999999994</v>
      </c>
      <c r="O6" s="615">
        <f t="shared" ref="O6:O7" si="9">N6*(D6+G6)</f>
        <v>125276.9</v>
      </c>
      <c r="P6" s="613" t="str">
        <f t="shared" si="4"/>
        <v>106 / 936</v>
      </c>
      <c r="Q6" s="613" t="str">
        <f t="shared" si="5"/>
        <v>141 / 938</v>
      </c>
    </row>
    <row r="7" spans="1:19">
      <c r="A7" s="561" t="s">
        <v>370</v>
      </c>
      <c r="B7" s="562">
        <v>104</v>
      </c>
      <c r="C7" s="563">
        <f t="shared" si="6"/>
        <v>1427</v>
      </c>
      <c r="D7" s="564">
        <v>1531</v>
      </c>
      <c r="E7" s="562">
        <v>137</v>
      </c>
      <c r="F7" s="563">
        <f t="shared" si="7"/>
        <v>1382</v>
      </c>
      <c r="G7" s="564">
        <v>1519</v>
      </c>
      <c r="H7" s="522">
        <v>2</v>
      </c>
      <c r="I7" s="132">
        <f t="shared" si="0"/>
        <v>3062</v>
      </c>
      <c r="J7" s="132">
        <f t="shared" si="1"/>
        <v>3038</v>
      </c>
      <c r="K7" s="132">
        <f t="shared" si="8"/>
        <v>6100</v>
      </c>
      <c r="L7" s="133">
        <f t="shared" si="2"/>
        <v>3.3964728935336384E-2</v>
      </c>
      <c r="M7" s="133">
        <f t="shared" si="3"/>
        <v>4.509545753785385E-2</v>
      </c>
      <c r="N7" s="134">
        <v>71.849999999999994</v>
      </c>
      <c r="O7" s="615">
        <f t="shared" si="9"/>
        <v>219142.49999999997</v>
      </c>
      <c r="P7" s="613" t="str">
        <f t="shared" si="4"/>
        <v>104 / 1531</v>
      </c>
      <c r="Q7" s="613" t="str">
        <f t="shared" si="5"/>
        <v>137 / 1519</v>
      </c>
    </row>
    <row r="8" spans="1:19">
      <c r="A8" s="543">
        <f>COUNT(D5:D7)</f>
        <v>3</v>
      </c>
      <c r="B8" s="136">
        <f>SUM(B5:B7)</f>
        <v>303</v>
      </c>
      <c r="C8" s="137"/>
      <c r="D8" s="136">
        <f>SUM(D5:D7)</f>
        <v>3765</v>
      </c>
      <c r="E8" s="136">
        <f>SUM(E5:E7)</f>
        <v>424</v>
      </c>
      <c r="F8" s="137"/>
      <c r="G8" s="136">
        <f>SUM(G5:G7)</f>
        <v>3764</v>
      </c>
      <c r="H8" s="523">
        <f>K8/(D8+G8)</f>
        <v>1.6114911232124676</v>
      </c>
      <c r="I8" s="138">
        <f>SUM(I5:I7)</f>
        <v>6070.8333333333339</v>
      </c>
      <c r="J8" s="138">
        <f>SUM(J5:J7)</f>
        <v>6062.0833333333339</v>
      </c>
      <c r="K8" s="138">
        <f>SUM(K5:K7)</f>
        <v>12132.916666666668</v>
      </c>
      <c r="L8" s="139">
        <f t="shared" si="2"/>
        <v>4.9910775566231975E-2</v>
      </c>
      <c r="M8" s="139">
        <f t="shared" si="3"/>
        <v>6.994295140559488E-2</v>
      </c>
      <c r="N8" s="140">
        <f>O8/(D8+G8)</f>
        <v>68.702503652543484</v>
      </c>
      <c r="O8" s="616">
        <f>SUM(O5:O7)</f>
        <v>517261.14999999991</v>
      </c>
      <c r="P8" s="617" t="str">
        <f t="shared" si="4"/>
        <v>303 / 3765</v>
      </c>
      <c r="Q8" s="617" t="str">
        <f t="shared" si="5"/>
        <v>424 / 3764</v>
      </c>
    </row>
    <row r="9" spans="1:19" ht="15" thickBot="1">
      <c r="B9" s="1"/>
      <c r="C9" s="1"/>
      <c r="E9" s="141"/>
      <c r="F9" s="11"/>
      <c r="S9" s="117"/>
    </row>
    <row r="10" spans="1:19" ht="15" thickBot="1">
      <c r="B10" s="142" t="s">
        <v>85</v>
      </c>
      <c r="C10" s="143">
        <v>0.11271244532139713</v>
      </c>
      <c r="D10" s="644" t="s">
        <v>86</v>
      </c>
      <c r="E10" s="645"/>
      <c r="F10" s="646"/>
      <c r="S10" s="117"/>
    </row>
    <row r="11" spans="1:19" ht="26.5" thickBot="1">
      <c r="A11" s="144">
        <f>I36</f>
        <v>6.994295140559488E-2</v>
      </c>
      <c r="B11" s="121" t="s">
        <v>87</v>
      </c>
      <c r="C11" s="15"/>
      <c r="D11" s="145" t="s">
        <v>88</v>
      </c>
      <c r="E11" s="146" t="s">
        <v>89</v>
      </c>
      <c r="F11" s="145" t="s">
        <v>90</v>
      </c>
      <c r="S11" s="117"/>
    </row>
    <row r="12" spans="1:19" ht="15" thickBot="1">
      <c r="A12" s="147">
        <f>E36</f>
        <v>1.6114911232124676</v>
      </c>
      <c r="B12" s="148" t="s">
        <v>91</v>
      </c>
      <c r="C12" s="15"/>
      <c r="D12" s="149">
        <v>0.71575147367240533</v>
      </c>
      <c r="E12" s="150">
        <v>0.62220502075083672</v>
      </c>
      <c r="F12" s="151">
        <v>0.82336444340693615</v>
      </c>
      <c r="G12" s="15"/>
      <c r="S12" s="117"/>
    </row>
    <row r="13" spans="1:19" ht="14.5" hidden="1">
      <c r="A13" s="152"/>
      <c r="B13" s="153"/>
      <c r="C13" s="1"/>
      <c r="S13" s="117"/>
    </row>
    <row r="14" spans="1:19" ht="15" hidden="1" thickBot="1">
      <c r="A14" s="152"/>
      <c r="B14" s="154"/>
      <c r="C14" s="155"/>
      <c r="D14" s="156">
        <f>C10*D12</f>
        <v>8.0674098840010394E-2</v>
      </c>
      <c r="E14" s="157">
        <f>C10*E12</f>
        <v>7.0130249380077447E-2</v>
      </c>
      <c r="F14" s="158">
        <f>C10*F12</f>
        <v>9.2803419807086868E-2</v>
      </c>
      <c r="S14" s="117"/>
    </row>
    <row r="15" spans="1:19" ht="14.5" hidden="1">
      <c r="A15" s="152"/>
      <c r="B15" s="153"/>
      <c r="C15" s="1"/>
      <c r="S15" s="117"/>
    </row>
    <row r="16" spans="1:19" ht="15" hidden="1" thickBot="1">
      <c r="A16" s="152"/>
      <c r="B16" s="159"/>
      <c r="C16" s="160" t="s">
        <v>92</v>
      </c>
      <c r="D16" s="161">
        <f>C10-D14</f>
        <v>3.2038346481386731E-2</v>
      </c>
      <c r="E16" s="162">
        <f>C10-F14</f>
        <v>1.9909025514310258E-2</v>
      </c>
      <c r="F16" s="163">
        <f>C10-E14</f>
        <v>4.2582195941319678E-2</v>
      </c>
      <c r="S16" s="117"/>
    </row>
    <row r="17" spans="1:19" ht="15" hidden="1" thickBot="1">
      <c r="A17" s="152"/>
      <c r="B17" s="164"/>
      <c r="C17" s="165" t="s">
        <v>93</v>
      </c>
      <c r="D17" s="166">
        <f>1/D16</f>
        <v>31.212597085213758</v>
      </c>
      <c r="E17" s="167">
        <f>1/F16</f>
        <v>23.483993201713886</v>
      </c>
      <c r="F17" s="168">
        <f>1/E16</f>
        <v>50.228475486216922</v>
      </c>
      <c r="S17" s="117"/>
    </row>
    <row r="18" spans="1:19" ht="14.5" hidden="1">
      <c r="A18" s="152"/>
      <c r="B18" s="153"/>
      <c r="C18" s="15"/>
      <c r="D18" s="15"/>
      <c r="E18" s="15"/>
      <c r="F18" s="15"/>
      <c r="S18" s="117"/>
    </row>
    <row r="19" spans="1:19" ht="14.5" hidden="1">
      <c r="A19" s="152"/>
      <c r="B19" s="169" t="s">
        <v>94</v>
      </c>
      <c r="C19" s="170"/>
      <c r="D19" s="170"/>
      <c r="E19" s="171">
        <f>ROUND(D12,2)</f>
        <v>0.72</v>
      </c>
      <c r="F19" s="172">
        <f>ROUND(D16,4)</f>
        <v>3.2000000000000001E-2</v>
      </c>
      <c r="G19" s="173">
        <f>ROUND(D17,0)</f>
        <v>31</v>
      </c>
      <c r="S19" s="117"/>
    </row>
    <row r="20" spans="1:19" ht="14.5" hidden="1">
      <c r="A20" s="152"/>
      <c r="B20" s="174" t="s">
        <v>95</v>
      </c>
      <c r="C20" s="175">
        <f>ROUND(D14,4)</f>
        <v>8.0699999999999994E-2</v>
      </c>
      <c r="D20" s="176">
        <f>ROUND(C10,4)</f>
        <v>0.11269999999999999</v>
      </c>
      <c r="E20" s="177">
        <f>ROUND(E12,2)</f>
        <v>0.62</v>
      </c>
      <c r="F20" s="178">
        <f>ROUND(E16,4)</f>
        <v>1.9900000000000001E-2</v>
      </c>
      <c r="G20" s="179">
        <f>ROUND(E17,0)</f>
        <v>23</v>
      </c>
      <c r="S20" s="117"/>
    </row>
    <row r="21" spans="1:19" ht="14.5" hidden="1">
      <c r="A21" s="152"/>
      <c r="B21" s="174" t="s">
        <v>96</v>
      </c>
      <c r="C21" s="180"/>
      <c r="D21" s="180"/>
      <c r="E21" s="177">
        <f>ROUND(F12,2)</f>
        <v>0.82</v>
      </c>
      <c r="F21" s="178">
        <f>ROUND(F16,4)</f>
        <v>4.2599999999999999E-2</v>
      </c>
      <c r="G21" s="179">
        <f>ROUND(F17,0)</f>
        <v>50</v>
      </c>
      <c r="S21" s="117"/>
    </row>
    <row r="22" spans="1:19" ht="14.5" hidden="1">
      <c r="A22" s="152"/>
      <c r="B22" s="174" t="s">
        <v>97</v>
      </c>
      <c r="C22" s="181" t="s">
        <v>98</v>
      </c>
      <c r="D22" s="181" t="s">
        <v>99</v>
      </c>
      <c r="E22" s="182" t="s">
        <v>100</v>
      </c>
      <c r="F22" s="182" t="s">
        <v>101</v>
      </c>
      <c r="G22" s="181" t="s">
        <v>93</v>
      </c>
      <c r="S22" s="117"/>
    </row>
    <row r="23" spans="1:19" ht="14.5" hidden="1">
      <c r="A23" s="152"/>
      <c r="B23" s="183" t="s">
        <v>102</v>
      </c>
      <c r="C23" s="181" t="str">
        <f>CONCATENATE(C20*100,B22)</f>
        <v>8,07%</v>
      </c>
      <c r="D23" s="181" t="str">
        <f>CONCATENATE(D20*100,B22)</f>
        <v>11,27%</v>
      </c>
      <c r="E23" s="181" t="str">
        <f>CONCATENATE(E19," ",B19,E20,B20,E21,B21)</f>
        <v>0,72 (0,62-0,82)</v>
      </c>
      <c r="F23" s="181" t="str">
        <f>CONCATENATE(F19*100,B22," ",B19,F20*100,B22," ",B23," ",F21*100,B22,B21)</f>
        <v>3,2% (1,99% a 4,26%)</v>
      </c>
      <c r="G23" s="181" t="str">
        <f>CONCATENATE(G19," ",B19,G20," ",B23," ",G21,B21)</f>
        <v>31 (23 a 50)</v>
      </c>
      <c r="S23" s="117"/>
    </row>
    <row r="24" spans="1:19" ht="14.5" hidden="1">
      <c r="A24" s="184"/>
      <c r="B24" s="153"/>
      <c r="D24" s="112"/>
      <c r="E24" s="112"/>
      <c r="F24" s="112"/>
      <c r="G24" s="112"/>
      <c r="S24" s="117"/>
    </row>
    <row r="25" spans="1:19" ht="15" thickBot="1">
      <c r="A25" s="144">
        <f>A11*A12</f>
        <v>0.11271244532139713</v>
      </c>
      <c r="B25" s="121" t="s">
        <v>103</v>
      </c>
      <c r="C25" s="1"/>
      <c r="S25" s="117"/>
    </row>
    <row r="26" spans="1:19" ht="15" thickBot="1">
      <c r="A26" s="185"/>
      <c r="B26" s="1"/>
      <c r="C26" s="186" t="s">
        <v>104</v>
      </c>
      <c r="D26" s="187" t="s">
        <v>99</v>
      </c>
      <c r="E26" s="187" t="s">
        <v>100</v>
      </c>
      <c r="F26" s="187" t="s">
        <v>92</v>
      </c>
      <c r="G26" s="188" t="s">
        <v>93</v>
      </c>
      <c r="S26" s="117"/>
    </row>
    <row r="27" spans="1:19" ht="26.5" thickBot="1">
      <c r="A27" s="189"/>
      <c r="B27" s="190"/>
      <c r="C27" s="191" t="str">
        <f>C23</f>
        <v>8,07%</v>
      </c>
      <c r="D27" s="192" t="str">
        <f>D23</f>
        <v>11,27%</v>
      </c>
      <c r="E27" s="192" t="str">
        <f>E23</f>
        <v>0,72 (0,62-0,82)</v>
      </c>
      <c r="F27" s="192" t="str">
        <f>F23</f>
        <v>3,2% (1,99% a 4,26%)</v>
      </c>
      <c r="G27" s="193" t="str">
        <f>G23</f>
        <v>31 (23 a 50)</v>
      </c>
      <c r="S27" s="117"/>
    </row>
    <row r="28" spans="1:19" ht="14.5">
      <c r="B28" s="1"/>
      <c r="C28" s="1"/>
      <c r="E28" s="141"/>
      <c r="F28" s="11"/>
      <c r="S28" s="117"/>
    </row>
    <row r="29" spans="1:19" ht="15" thickBot="1">
      <c r="D29" s="141"/>
      <c r="E29" s="141"/>
      <c r="S29" s="117"/>
    </row>
    <row r="30" spans="1:19" ht="36" customHeight="1" thickBot="1">
      <c r="A30" s="558" t="s">
        <v>392</v>
      </c>
      <c r="B30" s="194" t="str">
        <f>B2</f>
        <v>Hospitalización por Insuficiencia cardíaca, Subgr [+ - FEVIr, sin DM2], en 19 meses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S30" s="117"/>
    </row>
    <row r="31" spans="1:19" ht="36" customHeight="1" thickBot="1">
      <c r="A31" s="637" t="s">
        <v>105</v>
      </c>
      <c r="B31" s="633" t="s">
        <v>106</v>
      </c>
      <c r="C31" s="639" t="s">
        <v>107</v>
      </c>
      <c r="D31" s="637" t="s">
        <v>233</v>
      </c>
      <c r="E31" s="633" t="s">
        <v>108</v>
      </c>
      <c r="F31" s="633" t="s">
        <v>109</v>
      </c>
      <c r="G31" s="633" t="s">
        <v>110</v>
      </c>
      <c r="H31" s="633" t="s">
        <v>111</v>
      </c>
      <c r="I31" s="633" t="s">
        <v>112</v>
      </c>
      <c r="J31" s="633" t="s">
        <v>113</v>
      </c>
      <c r="K31" s="635" t="s">
        <v>114</v>
      </c>
      <c r="L31" s="625" t="s">
        <v>115</v>
      </c>
      <c r="M31" s="626"/>
      <c r="N31" s="626"/>
      <c r="O31" s="627"/>
      <c r="S31" s="117"/>
    </row>
    <row r="32" spans="1:19" ht="43.5" customHeight="1" thickBot="1">
      <c r="A32" s="638"/>
      <c r="B32" s="634"/>
      <c r="C32" s="640"/>
      <c r="D32" s="638"/>
      <c r="E32" s="634"/>
      <c r="F32" s="634"/>
      <c r="G32" s="634"/>
      <c r="H32" s="634"/>
      <c r="I32" s="634"/>
      <c r="J32" s="634"/>
      <c r="K32" s="636"/>
      <c r="L32" s="197" t="s">
        <v>116</v>
      </c>
      <c r="M32" s="198" t="s">
        <v>92</v>
      </c>
      <c r="N32" s="199" t="s">
        <v>93</v>
      </c>
      <c r="O32" s="200" t="s">
        <v>117</v>
      </c>
      <c r="S32" s="117"/>
    </row>
    <row r="33" spans="1:19" ht="44.5" customHeight="1">
      <c r="A33" s="521">
        <v>8</v>
      </c>
      <c r="B33" s="201" t="str">
        <f>A5</f>
        <v>20191121-ECA DAPA-HF 17m, FEVI 31+42DM [Dapa vs Pl],-MACE. McMurray</v>
      </c>
      <c r="C33" s="202" t="s">
        <v>118</v>
      </c>
      <c r="D33" s="203"/>
      <c r="E33" s="204">
        <f>H5</f>
        <v>1.4166666666666667</v>
      </c>
      <c r="F33" s="205" t="str">
        <f>P5</f>
        <v>93 / 1298</v>
      </c>
      <c r="G33" s="206">
        <f>L5</f>
        <v>5.0575546089005705E-2</v>
      </c>
      <c r="H33" s="205" t="str">
        <f>Q5</f>
        <v>146 / 1307</v>
      </c>
      <c r="I33" s="207">
        <f t="shared" ref="I33:J36" si="10">M5</f>
        <v>7.885143345785138E-2</v>
      </c>
      <c r="J33" s="208">
        <f t="shared" si="10"/>
        <v>66.349999999999994</v>
      </c>
      <c r="K33" s="209">
        <v>0.31785730319807431</v>
      </c>
      <c r="L33" s="210" t="s">
        <v>302</v>
      </c>
      <c r="M33" s="211" t="s">
        <v>303</v>
      </c>
      <c r="N33" s="212" t="s">
        <v>304</v>
      </c>
      <c r="O33" s="18" t="s">
        <v>292</v>
      </c>
      <c r="Q33" s="27">
        <v>3.5</v>
      </c>
      <c r="R33" s="213">
        <f>Q33*K33</f>
        <v>1.1125005611932601</v>
      </c>
      <c r="S33" s="117"/>
    </row>
    <row r="34" spans="1:19" ht="44.5" customHeight="1">
      <c r="A34" s="214"/>
      <c r="B34" s="201" t="str">
        <f>A6</f>
        <v>20201008-ECA EMPEROR-red 15m, FEVI 27+50DM [Empa vs Pl], -MACE. Packer</v>
      </c>
      <c r="C34" s="202" t="s">
        <v>118</v>
      </c>
      <c r="D34" s="203"/>
      <c r="E34" s="204">
        <f>H6</f>
        <v>1.25</v>
      </c>
      <c r="F34" s="205" t="str">
        <f>P6</f>
        <v>106 / 936</v>
      </c>
      <c r="G34" s="206">
        <f>L6</f>
        <v>9.0598290598290596E-2</v>
      </c>
      <c r="H34" s="205" t="str">
        <f>Q6</f>
        <v>141 / 938</v>
      </c>
      <c r="I34" s="206">
        <f t="shared" si="10"/>
        <v>0.12025586353944563</v>
      </c>
      <c r="J34" s="208">
        <f t="shared" si="10"/>
        <v>66.849999999999994</v>
      </c>
      <c r="K34" s="209">
        <v>0.35484699801805747</v>
      </c>
      <c r="L34" s="210" t="s">
        <v>305</v>
      </c>
      <c r="M34" s="211" t="s">
        <v>306</v>
      </c>
      <c r="N34" s="211" t="s">
        <v>307</v>
      </c>
      <c r="O34" s="18" t="s">
        <v>292</v>
      </c>
      <c r="Q34" s="27">
        <v>3.5</v>
      </c>
      <c r="R34" s="213">
        <f t="shared" ref="R34:R35" si="11">Q34*K34</f>
        <v>1.2419644930632012</v>
      </c>
      <c r="S34" s="117"/>
    </row>
    <row r="35" spans="1:19" ht="44.5" customHeight="1" thickBot="1">
      <c r="A35" s="214"/>
      <c r="B35" s="201" t="str">
        <f>A7</f>
        <v>20211014-ECA Emperor-Pres 24m, FEVI 54+50DM, [Empa vs Pl], -ICC. Anker</v>
      </c>
      <c r="C35" s="202" t="s">
        <v>118</v>
      </c>
      <c r="D35" s="203"/>
      <c r="E35" s="204">
        <f>H7</f>
        <v>2</v>
      </c>
      <c r="F35" s="205" t="str">
        <f>P7</f>
        <v>104 / 1531</v>
      </c>
      <c r="G35" s="206">
        <f>L7</f>
        <v>3.3964728935336384E-2</v>
      </c>
      <c r="H35" s="205" t="str">
        <f>Q7</f>
        <v>137 / 1519</v>
      </c>
      <c r="I35" s="206">
        <f t="shared" si="10"/>
        <v>4.509545753785385E-2</v>
      </c>
      <c r="J35" s="208">
        <f t="shared" si="10"/>
        <v>71.849999999999994</v>
      </c>
      <c r="K35" s="209">
        <v>0.32729569878386822</v>
      </c>
      <c r="L35" s="210" t="s">
        <v>308</v>
      </c>
      <c r="M35" s="211" t="s">
        <v>309</v>
      </c>
      <c r="N35" s="211" t="s">
        <v>310</v>
      </c>
      <c r="O35" s="18" t="s">
        <v>292</v>
      </c>
      <c r="Q35" s="27">
        <v>3.5</v>
      </c>
      <c r="R35" s="213">
        <f t="shared" si="11"/>
        <v>1.1455349457435386</v>
      </c>
      <c r="S35" s="117"/>
    </row>
    <row r="36" spans="1:19" ht="21.5" thickBot="1">
      <c r="A36" s="215" t="s">
        <v>119</v>
      </c>
      <c r="B36" s="216">
        <f>COUNT(E33:E35)</f>
        <v>3</v>
      </c>
      <c r="C36" s="217"/>
      <c r="D36" s="218" t="s">
        <v>241</v>
      </c>
      <c r="E36" s="219">
        <f>H8</f>
        <v>1.6114911232124676</v>
      </c>
      <c r="F36" s="220" t="str">
        <f>P8</f>
        <v>303 / 3765</v>
      </c>
      <c r="G36" s="221">
        <f>L8</f>
        <v>4.9910775566231975E-2</v>
      </c>
      <c r="H36" s="220" t="str">
        <f>Q8</f>
        <v>424 / 3764</v>
      </c>
      <c r="I36" s="221">
        <f t="shared" si="10"/>
        <v>6.994295140559488E-2</v>
      </c>
      <c r="J36" s="219">
        <f t="shared" si="10"/>
        <v>68.702503652543484</v>
      </c>
      <c r="K36" s="222">
        <v>1</v>
      </c>
      <c r="L36" s="524" t="s">
        <v>279</v>
      </c>
      <c r="M36" s="223"/>
      <c r="N36" s="224"/>
      <c r="O36" s="494" t="s">
        <v>294</v>
      </c>
      <c r="R36" s="225">
        <f>SUM(R33:R35)</f>
        <v>3.5</v>
      </c>
      <c r="S36" s="117"/>
    </row>
    <row r="37" spans="1:19" ht="21.5" customHeight="1" thickBot="1">
      <c r="A37" s="226"/>
      <c r="B37" s="226"/>
      <c r="C37" s="227"/>
      <c r="D37" s="489" t="s">
        <v>224</v>
      </c>
      <c r="E37" s="229"/>
      <c r="F37" s="230"/>
      <c r="G37" s="231"/>
      <c r="H37" s="230"/>
      <c r="I37" s="232"/>
      <c r="J37" s="233"/>
      <c r="K37" s="490"/>
      <c r="L37" s="491"/>
      <c r="M37" s="492"/>
      <c r="N37" s="608" t="s">
        <v>388</v>
      </c>
      <c r="O37" s="493" t="s">
        <v>293</v>
      </c>
    </row>
    <row r="38" spans="1:19" ht="13.5" thickBot="1">
      <c r="A38" s="226"/>
      <c r="B38" s="226"/>
      <c r="C38" s="227"/>
      <c r="D38" s="228"/>
      <c r="E38" s="229"/>
      <c r="F38" s="230"/>
      <c r="G38" s="231"/>
      <c r="H38" s="230"/>
      <c r="I38" s="232"/>
      <c r="J38" s="233"/>
      <c r="K38" s="234"/>
      <c r="L38" s="223"/>
      <c r="M38" s="224"/>
      <c r="N38" s="224"/>
      <c r="O38" s="234"/>
    </row>
    <row r="39" spans="1:19" ht="47" thickBot="1">
      <c r="A39" s="235"/>
      <c r="B39" s="628" t="s">
        <v>120</v>
      </c>
      <c r="C39" s="629"/>
      <c r="D39" s="629"/>
      <c r="E39" s="629"/>
      <c r="F39" s="629"/>
      <c r="G39" s="629"/>
      <c r="H39" s="629"/>
      <c r="I39" s="630"/>
      <c r="J39" s="236" t="s">
        <v>121</v>
      </c>
      <c r="K39" s="237" t="s">
        <v>122</v>
      </c>
      <c r="L39" s="238" t="s">
        <v>116</v>
      </c>
      <c r="M39" s="239" t="s">
        <v>92</v>
      </c>
      <c r="N39" s="240" t="s">
        <v>93</v>
      </c>
      <c r="O39" s="224"/>
    </row>
    <row r="40" spans="1:19" ht="19.5" customHeight="1">
      <c r="A40" s="631" t="s">
        <v>123</v>
      </c>
      <c r="B40" s="241" t="s">
        <v>124</v>
      </c>
      <c r="C40" s="242">
        <f>I36</f>
        <v>6.994295140559488E-2</v>
      </c>
      <c r="D40" s="243" t="s">
        <v>125</v>
      </c>
      <c r="E40" s="243"/>
      <c r="F40" s="243"/>
      <c r="G40" s="243"/>
      <c r="H40" s="244">
        <f>J36</f>
        <v>68.702503652543484</v>
      </c>
      <c r="I40" s="245" t="s">
        <v>126</v>
      </c>
      <c r="J40" s="246">
        <v>5.0099999999999999E-2</v>
      </c>
      <c r="K40" s="247">
        <v>6.9900000000000004E-2</v>
      </c>
      <c r="L40" s="525" t="s">
        <v>312</v>
      </c>
      <c r="M40" s="248" t="s">
        <v>313</v>
      </c>
      <c r="N40" s="248" t="s">
        <v>314</v>
      </c>
      <c r="O40" s="249" t="s">
        <v>127</v>
      </c>
    </row>
    <row r="41" spans="1:19" ht="19" thickBot="1">
      <c r="A41" s="632"/>
      <c r="B41" s="250" t="s">
        <v>124</v>
      </c>
      <c r="C41" s="251">
        <f>I36*E36</f>
        <v>0.11271244532139713</v>
      </c>
      <c r="D41" s="252" t="s">
        <v>128</v>
      </c>
      <c r="E41" s="253"/>
      <c r="F41" s="254"/>
      <c r="G41" s="255">
        <f>E36</f>
        <v>1.6114911232124676</v>
      </c>
      <c r="H41" s="252" t="s">
        <v>129</v>
      </c>
      <c r="I41" s="256"/>
      <c r="J41" s="257">
        <v>8.0699999999999994E-2</v>
      </c>
      <c r="K41" s="258">
        <v>0.11269999999999999</v>
      </c>
      <c r="L41" s="526" t="s">
        <v>312</v>
      </c>
      <c r="M41" s="259" t="s">
        <v>315</v>
      </c>
      <c r="N41" s="259" t="s">
        <v>316</v>
      </c>
      <c r="O41" s="260" t="s">
        <v>300</v>
      </c>
      <c r="P41" s="15" t="s">
        <v>301</v>
      </c>
    </row>
    <row r="42" spans="1:19" ht="19" thickBot="1">
      <c r="A42" s="261"/>
      <c r="B42" s="262"/>
      <c r="C42" s="263"/>
      <c r="D42" s="264"/>
      <c r="E42" s="265"/>
      <c r="F42" s="266"/>
      <c r="G42" s="267"/>
      <c r="H42" s="264"/>
      <c r="I42" s="266"/>
      <c r="J42" s="268"/>
      <c r="K42" s="268"/>
      <c r="L42" s="269"/>
      <c r="M42" s="270"/>
      <c r="N42" s="270"/>
      <c r="O42" s="271"/>
    </row>
    <row r="43" spans="1:19" ht="19" thickBot="1">
      <c r="A43" s="272"/>
      <c r="B43" s="272"/>
      <c r="C43" s="234"/>
      <c r="D43" s="234"/>
      <c r="E43" s="234"/>
      <c r="F43" s="234"/>
      <c r="G43" s="234"/>
      <c r="H43" s="234"/>
      <c r="I43" s="273"/>
      <c r="J43" s="274"/>
      <c r="K43" s="275" t="s">
        <v>130</v>
      </c>
      <c r="L43" s="530" t="s">
        <v>311</v>
      </c>
      <c r="M43" s="276"/>
      <c r="N43" s="277"/>
      <c r="O43" s="278"/>
    </row>
    <row r="44" spans="1:19">
      <c r="A44" s="112"/>
      <c r="C44" s="1"/>
      <c r="I44" s="109" t="s">
        <v>131</v>
      </c>
      <c r="J44" s="279">
        <f>G41</f>
        <v>1.6114911232124676</v>
      </c>
      <c r="K44" s="279">
        <f>J44</f>
        <v>1.6114911232124676</v>
      </c>
    </row>
    <row r="45" spans="1:19">
      <c r="A45" s="112"/>
      <c r="C45" s="1"/>
      <c r="I45" s="15"/>
      <c r="J45" s="3" t="s">
        <v>81</v>
      </c>
      <c r="K45" s="3" t="s">
        <v>82</v>
      </c>
      <c r="L45" s="3" t="s">
        <v>132</v>
      </c>
    </row>
    <row r="46" spans="1:19" ht="17">
      <c r="I46" s="280" t="s">
        <v>263</v>
      </c>
      <c r="J46" s="528">
        <f>J40*100*J44</f>
        <v>8.0735705272944625</v>
      </c>
      <c r="K46" s="529">
        <f>K40*100*K44</f>
        <v>11.264322951255149</v>
      </c>
      <c r="L46" s="527">
        <f>((J46*I8)+(K46*J8))/K8</f>
        <v>9.6677961880727867</v>
      </c>
      <c r="M46" s="281"/>
      <c r="N46" s="28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19">
    <mergeCell ref="B3:D3"/>
    <mergeCell ref="E3:G3"/>
    <mergeCell ref="I3:K3"/>
    <mergeCell ref="L3:M3"/>
    <mergeCell ref="D10:F10"/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</mergeCells>
  <pageMargins left="0.7" right="0.7" top="0.75" bottom="0.75" header="0.3" footer="0.3"/>
  <ignoredErrors>
    <ignoredError sqref="H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C9579-40D1-4B15-96EB-DB4A93EAF829}">
  <dimension ref="A1:S65"/>
  <sheetViews>
    <sheetView zoomScale="70" zoomScaleNormal="70" workbookViewId="0"/>
  </sheetViews>
  <sheetFormatPr baseColWidth="10" defaultColWidth="16" defaultRowHeight="13"/>
  <cols>
    <col min="1" max="1" width="22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Mortalidad por todas las causas, Subgr [+ - FEVIr, con DM2], en 19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39">
      <c r="A4" s="559" t="s">
        <v>377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143</v>
      </c>
      <c r="C5" s="563">
        <f>D5-B5</f>
        <v>932</v>
      </c>
      <c r="D5" s="564">
        <v>1075</v>
      </c>
      <c r="E5" s="562">
        <v>178</v>
      </c>
      <c r="F5" s="563">
        <f>G5-E5</f>
        <v>886</v>
      </c>
      <c r="G5" s="564">
        <v>1064</v>
      </c>
      <c r="H5" s="522">
        <v>1.4166666666666667</v>
      </c>
      <c r="I5" s="132">
        <f t="shared" ref="I5:I7" si="0">D5*H5</f>
        <v>1522.9166666666667</v>
      </c>
      <c r="J5" s="132">
        <f t="shared" ref="J5:J7" si="1">G5*H5</f>
        <v>1507.3333333333335</v>
      </c>
      <c r="K5" s="132">
        <f>I5+J5</f>
        <v>3030.25</v>
      </c>
      <c r="L5" s="133">
        <f t="shared" ref="L5:L8" si="2">B5/I5</f>
        <v>9.3898768809849514E-2</v>
      </c>
      <c r="M5" s="133">
        <f t="shared" ref="M5:M8" si="3">E5/J5</f>
        <v>0.1180893409995577</v>
      </c>
      <c r="N5" s="134">
        <v>66.349999999999994</v>
      </c>
      <c r="O5" s="615">
        <f>N5*(D5+G5)</f>
        <v>141922.65</v>
      </c>
      <c r="P5" s="613" t="str">
        <f t="shared" ref="P5:P8" si="4">CONCATENATE(B5," ",$P$4," ",D5)</f>
        <v>143 / 1075</v>
      </c>
      <c r="Q5" s="613" t="str">
        <f t="shared" ref="Q5:Q8" si="5">CONCATENATE(E5," ",$Q$4," ",G5)</f>
        <v>178 / 1064</v>
      </c>
    </row>
    <row r="6" spans="1:19">
      <c r="A6" s="561" t="s">
        <v>296</v>
      </c>
      <c r="B6" s="562">
        <v>65</v>
      </c>
      <c r="C6" s="563">
        <f t="shared" ref="C6:C7" si="6">D6-B6</f>
        <v>543</v>
      </c>
      <c r="D6" s="564">
        <v>608</v>
      </c>
      <c r="E6" s="562">
        <v>76</v>
      </c>
      <c r="F6" s="563">
        <f t="shared" ref="F6:F7" si="7">G6-E6</f>
        <v>538</v>
      </c>
      <c r="G6" s="564">
        <v>614</v>
      </c>
      <c r="H6" s="522">
        <v>0.75</v>
      </c>
      <c r="I6" s="132">
        <f t="shared" si="0"/>
        <v>456</v>
      </c>
      <c r="J6" s="132">
        <f t="shared" si="1"/>
        <v>460.5</v>
      </c>
      <c r="K6" s="132">
        <f t="shared" ref="K6:K7" si="8">I6+J6</f>
        <v>916.5</v>
      </c>
      <c r="L6" s="133">
        <f t="shared" si="2"/>
        <v>0.14254385964912281</v>
      </c>
      <c r="M6" s="133">
        <f t="shared" si="3"/>
        <v>0.16503800217155265</v>
      </c>
      <c r="N6" s="134">
        <v>69.5</v>
      </c>
      <c r="O6" s="615">
        <f t="shared" ref="O6:O7" si="9">N6*(D6+G6)</f>
        <v>84929</v>
      </c>
      <c r="P6" s="613" t="str">
        <f t="shared" si="4"/>
        <v>65 / 608</v>
      </c>
      <c r="Q6" s="613" t="str">
        <f t="shared" si="5"/>
        <v>76 / 614</v>
      </c>
    </row>
    <row r="7" spans="1:19">
      <c r="A7" s="561" t="s">
        <v>370</v>
      </c>
      <c r="B7" s="562">
        <v>234</v>
      </c>
      <c r="C7" s="563">
        <f t="shared" si="6"/>
        <v>1232</v>
      </c>
      <c r="D7" s="564">
        <v>1466</v>
      </c>
      <c r="E7" s="562">
        <v>226</v>
      </c>
      <c r="F7" s="563">
        <f t="shared" si="7"/>
        <v>1246</v>
      </c>
      <c r="G7" s="564">
        <v>1472</v>
      </c>
      <c r="H7" s="522">
        <v>2</v>
      </c>
      <c r="I7" s="132">
        <f t="shared" si="0"/>
        <v>2932</v>
      </c>
      <c r="J7" s="132">
        <f t="shared" si="1"/>
        <v>2944</v>
      </c>
      <c r="K7" s="132">
        <f t="shared" si="8"/>
        <v>5876</v>
      </c>
      <c r="L7" s="133">
        <f t="shared" si="2"/>
        <v>7.9809004092769434E-2</v>
      </c>
      <c r="M7" s="133">
        <f t="shared" si="3"/>
        <v>7.6766304347826081E-2</v>
      </c>
      <c r="N7" s="134">
        <v>71.849999999999994</v>
      </c>
      <c r="O7" s="615">
        <f t="shared" si="9"/>
        <v>211095.3</v>
      </c>
      <c r="P7" s="613" t="str">
        <f t="shared" si="4"/>
        <v>234 / 1466</v>
      </c>
      <c r="Q7" s="613" t="str">
        <f t="shared" si="5"/>
        <v>226 / 1472</v>
      </c>
    </row>
    <row r="8" spans="1:19">
      <c r="A8" s="600">
        <f>COUNT(D5:D7)</f>
        <v>3</v>
      </c>
      <c r="B8" s="136">
        <f>SUM(B5:B7)</f>
        <v>442</v>
      </c>
      <c r="C8" s="137"/>
      <c r="D8" s="136">
        <f>SUM(D5:D7)</f>
        <v>3149</v>
      </c>
      <c r="E8" s="136">
        <f>SUM(E5:E7)</f>
        <v>480</v>
      </c>
      <c r="F8" s="137"/>
      <c r="G8" s="136">
        <f>SUM(G5:G7)</f>
        <v>3150</v>
      </c>
      <c r="H8" s="523">
        <f>K8/(D8+G8)</f>
        <v>1.5594141927290046</v>
      </c>
      <c r="I8" s="138">
        <f>SUM(I5:I7)</f>
        <v>4910.916666666667</v>
      </c>
      <c r="J8" s="138">
        <f>SUM(J5:J7)</f>
        <v>4911.8333333333339</v>
      </c>
      <c r="K8" s="138">
        <f>SUM(K5:K7)</f>
        <v>9822.75</v>
      </c>
      <c r="L8" s="139">
        <f t="shared" si="2"/>
        <v>9.0003563489504668E-2</v>
      </c>
      <c r="M8" s="139">
        <f t="shared" si="3"/>
        <v>9.7723185504394142E-2</v>
      </c>
      <c r="N8" s="140">
        <f>O8/(D8+G8)</f>
        <v>69.526424829337984</v>
      </c>
      <c r="O8" s="616">
        <f>SUM(O5:O7)</f>
        <v>437946.94999999995</v>
      </c>
      <c r="P8" s="617" t="str">
        <f t="shared" si="4"/>
        <v>442 / 3149</v>
      </c>
      <c r="Q8" s="617" t="str">
        <f t="shared" si="5"/>
        <v>480 / 3150</v>
      </c>
    </row>
    <row r="9" spans="1:19" ht="15" thickBot="1">
      <c r="B9" s="1"/>
      <c r="C9" s="1"/>
      <c r="E9" s="141"/>
      <c r="F9" s="11"/>
      <c r="S9" s="117"/>
    </row>
    <row r="10" spans="1:19" ht="15" thickBot="1">
      <c r="B10" s="142" t="s">
        <v>85</v>
      </c>
      <c r="C10" s="143">
        <v>0.15239092243424154</v>
      </c>
      <c r="D10" s="644" t="s">
        <v>86</v>
      </c>
      <c r="E10" s="645"/>
      <c r="F10" s="646"/>
      <c r="S10" s="117"/>
    </row>
    <row r="11" spans="1:19" ht="26.5" thickBot="1">
      <c r="A11" s="144">
        <f>I36</f>
        <v>9.7723185504394142E-2</v>
      </c>
      <c r="B11" s="121" t="s">
        <v>87</v>
      </c>
      <c r="C11" s="15"/>
      <c r="D11" s="145" t="s">
        <v>88</v>
      </c>
      <c r="E11" s="146" t="s">
        <v>89</v>
      </c>
      <c r="F11" s="145" t="s">
        <v>90</v>
      </c>
      <c r="S11" s="117"/>
    </row>
    <row r="12" spans="1:19" ht="15" thickBot="1">
      <c r="A12" s="147">
        <f>E36</f>
        <v>1.5594141927290046</v>
      </c>
      <c r="B12" s="148" t="s">
        <v>91</v>
      </c>
      <c r="C12" s="15"/>
      <c r="D12" s="149">
        <v>0.90083039174743706</v>
      </c>
      <c r="E12" s="150">
        <v>0.70993175782630968</v>
      </c>
      <c r="F12" s="151">
        <v>1.1430661284686821</v>
      </c>
      <c r="G12" s="15"/>
      <c r="S12" s="117"/>
    </row>
    <row r="13" spans="1:19" ht="14.5" hidden="1">
      <c r="A13" s="152"/>
      <c r="B13" s="153"/>
      <c r="C13" s="1"/>
      <c r="S13" s="117"/>
    </row>
    <row r="14" spans="1:19" ht="15" hidden="1" thickBot="1">
      <c r="A14" s="152"/>
      <c r="B14" s="154"/>
      <c r="C14" s="155"/>
      <c r="D14" s="156">
        <f>C10*D12</f>
        <v>0.13727837435519111</v>
      </c>
      <c r="E14" s="157">
        <f>C10*E12</f>
        <v>0.10818715544051391</v>
      </c>
      <c r="F14" s="158">
        <f>C10*F12</f>
        <v>0.17419290172067969</v>
      </c>
      <c r="S14" s="117"/>
    </row>
    <row r="15" spans="1:19" ht="14.5" hidden="1">
      <c r="A15" s="152"/>
      <c r="B15" s="153"/>
      <c r="C15" s="1"/>
      <c r="S15" s="117"/>
    </row>
    <row r="16" spans="1:19" ht="15" hidden="1" thickBot="1">
      <c r="A16" s="152"/>
      <c r="B16" s="159"/>
      <c r="C16" s="160" t="s">
        <v>92</v>
      </c>
      <c r="D16" s="161">
        <f>C10-D14</f>
        <v>1.5112548079050436E-2</v>
      </c>
      <c r="E16" s="162">
        <f>C10-F14</f>
        <v>-2.180197928643815E-2</v>
      </c>
      <c r="F16" s="163">
        <f>C10-E14</f>
        <v>4.4203766993727633E-2</v>
      </c>
      <c r="S16" s="117"/>
    </row>
    <row r="17" spans="1:19" ht="15" hidden="1" thickBot="1">
      <c r="A17" s="152"/>
      <c r="B17" s="164"/>
      <c r="C17" s="165" t="s">
        <v>93</v>
      </c>
      <c r="D17" s="166">
        <f>1/D16</f>
        <v>66.170178236603022</v>
      </c>
      <c r="E17" s="167">
        <f>1/F16</f>
        <v>22.622506361095802</v>
      </c>
      <c r="F17" s="168">
        <f>1/E16</f>
        <v>-45.867395196639173</v>
      </c>
      <c r="S17" s="117"/>
    </row>
    <row r="18" spans="1:19" ht="14.5" hidden="1">
      <c r="A18" s="152"/>
      <c r="B18" s="153"/>
      <c r="C18" s="15"/>
      <c r="D18" s="15"/>
      <c r="E18" s="15"/>
      <c r="F18" s="15"/>
      <c r="S18" s="117"/>
    </row>
    <row r="19" spans="1:19" ht="14.5" hidden="1">
      <c r="A19" s="152"/>
      <c r="B19" s="169" t="s">
        <v>94</v>
      </c>
      <c r="C19" s="170"/>
      <c r="D19" s="170"/>
      <c r="E19" s="171">
        <f>ROUND(D12,2)</f>
        <v>0.9</v>
      </c>
      <c r="F19" s="172">
        <f>ROUND(D16,4)</f>
        <v>1.5100000000000001E-2</v>
      </c>
      <c r="G19" s="173">
        <f>ROUND(D17,0)</f>
        <v>66</v>
      </c>
      <c r="S19" s="117"/>
    </row>
    <row r="20" spans="1:19" ht="14.5" hidden="1">
      <c r="A20" s="152"/>
      <c r="B20" s="174" t="s">
        <v>95</v>
      </c>
      <c r="C20" s="175">
        <f>ROUND(D14,4)</f>
        <v>0.13730000000000001</v>
      </c>
      <c r="D20" s="176">
        <f>ROUND(C10,4)</f>
        <v>0.15240000000000001</v>
      </c>
      <c r="E20" s="177">
        <f>ROUND(E12,2)</f>
        <v>0.71</v>
      </c>
      <c r="F20" s="178">
        <f>ROUND(E16,4)</f>
        <v>-2.18E-2</v>
      </c>
      <c r="G20" s="179">
        <f>ROUND(E17,0)</f>
        <v>23</v>
      </c>
      <c r="S20" s="117"/>
    </row>
    <row r="21" spans="1:19" ht="14.5" hidden="1">
      <c r="A21" s="152"/>
      <c r="B21" s="174" t="s">
        <v>96</v>
      </c>
      <c r="C21" s="180"/>
      <c r="D21" s="180"/>
      <c r="E21" s="177">
        <f>ROUND(F12,2)</f>
        <v>1.1399999999999999</v>
      </c>
      <c r="F21" s="178">
        <f>ROUND(F16,4)</f>
        <v>4.4200000000000003E-2</v>
      </c>
      <c r="G21" s="179">
        <f>ROUND(F17,0)</f>
        <v>-46</v>
      </c>
      <c r="S21" s="117"/>
    </row>
    <row r="22" spans="1:19" ht="14.5" hidden="1">
      <c r="A22" s="152"/>
      <c r="B22" s="174" t="s">
        <v>97</v>
      </c>
      <c r="C22" s="181" t="s">
        <v>98</v>
      </c>
      <c r="D22" s="181" t="s">
        <v>99</v>
      </c>
      <c r="E22" s="182" t="s">
        <v>100</v>
      </c>
      <c r="F22" s="182" t="s">
        <v>101</v>
      </c>
      <c r="G22" s="181" t="s">
        <v>93</v>
      </c>
      <c r="S22" s="117"/>
    </row>
    <row r="23" spans="1:19" ht="14.5" hidden="1">
      <c r="A23" s="152"/>
      <c r="B23" s="183" t="s">
        <v>102</v>
      </c>
      <c r="C23" s="181" t="str">
        <f>CONCATENATE(C20*100,B22)</f>
        <v>13,73%</v>
      </c>
      <c r="D23" s="181" t="str">
        <f>CONCATENATE(D20*100,B22)</f>
        <v>15,24%</v>
      </c>
      <c r="E23" s="181" t="str">
        <f>CONCATENATE(E19," ",B19,E20,B20,E21,B21)</f>
        <v>0,9 (0,71-1,14)</v>
      </c>
      <c r="F23" s="181" t="str">
        <f>CONCATENATE(F19*100,B22," ",B19,F20*100,B22," ",B23," ",F21*100,B22,B21)</f>
        <v>1,51% (-2,18% a 4,42%)</v>
      </c>
      <c r="G23" s="181" t="str">
        <f>CONCATENATE(G19," ",B19,G20," ",B23," ",G21,B21)</f>
        <v>66 (23 a -46)</v>
      </c>
      <c r="S23" s="117"/>
    </row>
    <row r="24" spans="1:19" ht="14.5" hidden="1">
      <c r="A24" s="184"/>
      <c r="B24" s="153"/>
      <c r="D24" s="112"/>
      <c r="E24" s="112"/>
      <c r="F24" s="112"/>
      <c r="G24" s="112"/>
      <c r="S24" s="117"/>
    </row>
    <row r="25" spans="1:19" ht="15" thickBot="1">
      <c r="A25" s="144">
        <f>A11*A12</f>
        <v>0.15239092243424154</v>
      </c>
      <c r="B25" s="121" t="s">
        <v>103</v>
      </c>
      <c r="C25" s="1"/>
      <c r="S25" s="117"/>
    </row>
    <row r="26" spans="1:19" ht="15" thickBot="1">
      <c r="A26" s="185"/>
      <c r="B26" s="1"/>
      <c r="C26" s="186" t="s">
        <v>104</v>
      </c>
      <c r="D26" s="187" t="s">
        <v>99</v>
      </c>
      <c r="E26" s="187" t="s">
        <v>100</v>
      </c>
      <c r="F26" s="187" t="s">
        <v>92</v>
      </c>
      <c r="G26" s="188" t="s">
        <v>93</v>
      </c>
      <c r="S26" s="117"/>
    </row>
    <row r="27" spans="1:19" ht="26.5" thickBot="1">
      <c r="A27" s="189"/>
      <c r="B27" s="190"/>
      <c r="C27" s="191" t="str">
        <f>C23</f>
        <v>13,73%</v>
      </c>
      <c r="D27" s="192" t="str">
        <f>D23</f>
        <v>15,24%</v>
      </c>
      <c r="E27" s="192" t="str">
        <f>E23</f>
        <v>0,9 (0,71-1,14)</v>
      </c>
      <c r="F27" s="192" t="str">
        <f>F23</f>
        <v>1,51% (-2,18% a 4,42%)</v>
      </c>
      <c r="G27" s="193" t="str">
        <f>G23</f>
        <v>66 (23 a -46)</v>
      </c>
      <c r="S27" s="117"/>
    </row>
    <row r="28" spans="1:19" ht="14.5">
      <c r="B28" s="1"/>
      <c r="C28" s="1"/>
      <c r="E28" s="141"/>
      <c r="F28" s="11"/>
      <c r="S28" s="117"/>
    </row>
    <row r="29" spans="1:19" ht="15" thickBot="1">
      <c r="D29" s="141"/>
      <c r="E29" s="141"/>
      <c r="S29" s="117"/>
    </row>
    <row r="30" spans="1:19" ht="34" customHeight="1" thickBot="1">
      <c r="A30" s="558" t="s">
        <v>437</v>
      </c>
      <c r="B30" s="194" t="str">
        <f>B2</f>
        <v>Mortalidad por todas las causas, Subgr [+ - FEVIr, con DM2], en 19 meses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S30" s="117"/>
    </row>
    <row r="31" spans="1:19" ht="36" customHeight="1" thickBot="1">
      <c r="A31" s="637" t="s">
        <v>105</v>
      </c>
      <c r="B31" s="633" t="s">
        <v>106</v>
      </c>
      <c r="C31" s="639" t="s">
        <v>107</v>
      </c>
      <c r="D31" s="637" t="s">
        <v>233</v>
      </c>
      <c r="E31" s="633" t="s">
        <v>108</v>
      </c>
      <c r="F31" s="633" t="s">
        <v>109</v>
      </c>
      <c r="G31" s="633" t="s">
        <v>110</v>
      </c>
      <c r="H31" s="633" t="s">
        <v>111</v>
      </c>
      <c r="I31" s="633" t="s">
        <v>112</v>
      </c>
      <c r="J31" s="633" t="s">
        <v>113</v>
      </c>
      <c r="K31" s="635" t="s">
        <v>114</v>
      </c>
      <c r="L31" s="625" t="s">
        <v>115</v>
      </c>
      <c r="M31" s="626"/>
      <c r="N31" s="626"/>
      <c r="O31" s="627"/>
      <c r="S31" s="117"/>
    </row>
    <row r="32" spans="1:19" ht="43.5" customHeight="1" thickBot="1">
      <c r="A32" s="638"/>
      <c r="B32" s="634"/>
      <c r="C32" s="640"/>
      <c r="D32" s="638"/>
      <c r="E32" s="634"/>
      <c r="F32" s="634"/>
      <c r="G32" s="634"/>
      <c r="H32" s="634"/>
      <c r="I32" s="634"/>
      <c r="J32" s="634"/>
      <c r="K32" s="636"/>
      <c r="L32" s="197" t="s">
        <v>116</v>
      </c>
      <c r="M32" s="198" t="s">
        <v>92</v>
      </c>
      <c r="N32" s="199" t="s">
        <v>93</v>
      </c>
      <c r="O32" s="200" t="s">
        <v>117</v>
      </c>
      <c r="S32" s="117"/>
    </row>
    <row r="33" spans="1:19" ht="44.5" customHeight="1">
      <c r="A33" s="521">
        <v>9</v>
      </c>
      <c r="B33" s="201" t="str">
        <f>A5</f>
        <v>20191121-ECA DAPA-HF 17m, FEVI 31+42DM [Dapa vs Pl],-MACE. McMurray</v>
      </c>
      <c r="C33" s="202" t="s">
        <v>118</v>
      </c>
      <c r="D33" s="203"/>
      <c r="E33" s="204">
        <f>H5</f>
        <v>1.4166666666666667</v>
      </c>
      <c r="F33" s="205" t="str">
        <f>P5</f>
        <v>143 / 1075</v>
      </c>
      <c r="G33" s="206">
        <f>L5</f>
        <v>9.3898768809849514E-2</v>
      </c>
      <c r="H33" s="205" t="str">
        <f>Q5</f>
        <v>178 / 1064</v>
      </c>
      <c r="I33" s="207">
        <f t="shared" ref="I33:J36" si="10">M5</f>
        <v>0.1180893409995577</v>
      </c>
      <c r="J33" s="208">
        <f t="shared" si="10"/>
        <v>66.349999999999994</v>
      </c>
      <c r="K33" s="209">
        <v>0.35326708866510259</v>
      </c>
      <c r="L33" s="210" t="s">
        <v>438</v>
      </c>
      <c r="M33" s="211" t="s">
        <v>439</v>
      </c>
      <c r="N33" s="212" t="s">
        <v>440</v>
      </c>
      <c r="O33" s="18" t="s">
        <v>292</v>
      </c>
      <c r="Q33" s="27">
        <v>3.5</v>
      </c>
      <c r="R33" s="213">
        <f>Q33*K33</f>
        <v>1.2364348103278591</v>
      </c>
      <c r="S33" s="117"/>
    </row>
    <row r="34" spans="1:19" ht="44.5" customHeight="1">
      <c r="A34" s="214"/>
      <c r="B34" s="201" t="str">
        <f>A6</f>
        <v>20210114-ECA SOLOIST 9m, FEVI 35+100DM [Sota vs Pl], -MortCV InsCar. Bhatt</v>
      </c>
      <c r="C34" s="202" t="s">
        <v>118</v>
      </c>
      <c r="D34" s="203"/>
      <c r="E34" s="204">
        <f>H6</f>
        <v>0.75</v>
      </c>
      <c r="F34" s="205" t="str">
        <f>P6</f>
        <v>65 / 608</v>
      </c>
      <c r="G34" s="206">
        <f>L6</f>
        <v>0.14254385964912281</v>
      </c>
      <c r="H34" s="205" t="str">
        <f>Q6</f>
        <v>76 / 614</v>
      </c>
      <c r="I34" s="206">
        <f t="shared" si="10"/>
        <v>0.16503800217155265</v>
      </c>
      <c r="J34" s="208">
        <f t="shared" si="10"/>
        <v>69.5</v>
      </c>
      <c r="K34" s="209">
        <v>0.2621395711215313</v>
      </c>
      <c r="L34" s="210" t="s">
        <v>249</v>
      </c>
      <c r="M34" s="211" t="s">
        <v>250</v>
      </c>
      <c r="N34" s="211" t="s">
        <v>251</v>
      </c>
      <c r="O34" s="565" t="s">
        <v>335</v>
      </c>
      <c r="P34" s="557"/>
      <c r="Q34" s="566">
        <v>3</v>
      </c>
      <c r="R34" s="213">
        <f t="shared" ref="R34:R35" si="11">Q34*K34</f>
        <v>0.7864187133645939</v>
      </c>
      <c r="S34" s="117"/>
    </row>
    <row r="35" spans="1:19" ht="44.5" customHeight="1" thickBot="1">
      <c r="A35" s="214"/>
      <c r="B35" s="201" t="str">
        <f>A7</f>
        <v>20211014-ECA Emperor-Pres 24m, FEVI 54+50DM, [Empa vs Pl], -ICC. Anker</v>
      </c>
      <c r="C35" s="202" t="s">
        <v>118</v>
      </c>
      <c r="D35" s="203"/>
      <c r="E35" s="204">
        <f>H7</f>
        <v>2</v>
      </c>
      <c r="F35" s="205" t="str">
        <f>P7</f>
        <v>234 / 1466</v>
      </c>
      <c r="G35" s="206">
        <f>L7</f>
        <v>7.9809004092769434E-2</v>
      </c>
      <c r="H35" s="205" t="str">
        <f>Q7</f>
        <v>226 / 1472</v>
      </c>
      <c r="I35" s="206">
        <f t="shared" si="10"/>
        <v>7.6766304347826081E-2</v>
      </c>
      <c r="J35" s="208">
        <f t="shared" si="10"/>
        <v>71.849999999999994</v>
      </c>
      <c r="K35" s="209">
        <v>0.38459334021336627</v>
      </c>
      <c r="L35" s="210" t="s">
        <v>441</v>
      </c>
      <c r="M35" s="211" t="s">
        <v>442</v>
      </c>
      <c r="N35" s="211" t="s">
        <v>443</v>
      </c>
      <c r="O35" s="18" t="s">
        <v>292</v>
      </c>
      <c r="Q35" s="27">
        <v>3.5</v>
      </c>
      <c r="R35" s="213">
        <f t="shared" si="11"/>
        <v>1.346076690746782</v>
      </c>
      <c r="S35" s="117"/>
    </row>
    <row r="36" spans="1:19" ht="21.5" thickBot="1">
      <c r="A36" s="215" t="s">
        <v>119</v>
      </c>
      <c r="B36" s="216">
        <f>COUNT(E33:E35)</f>
        <v>3</v>
      </c>
      <c r="C36" s="217"/>
      <c r="D36" s="218" t="s">
        <v>444</v>
      </c>
      <c r="E36" s="219">
        <f>H8</f>
        <v>1.5594141927290046</v>
      </c>
      <c r="F36" s="220" t="str">
        <f>P8</f>
        <v>442 / 3149</v>
      </c>
      <c r="G36" s="221">
        <f>L8</f>
        <v>9.0003563489504668E-2</v>
      </c>
      <c r="H36" s="220" t="str">
        <f>Q8</f>
        <v>480 / 3150</v>
      </c>
      <c r="I36" s="221">
        <f t="shared" si="10"/>
        <v>9.7723185504394142E-2</v>
      </c>
      <c r="J36" s="219">
        <f t="shared" si="10"/>
        <v>69.526424829337984</v>
      </c>
      <c r="K36" s="222">
        <v>1</v>
      </c>
      <c r="L36" s="607" t="s">
        <v>445</v>
      </c>
      <c r="M36" s="223"/>
      <c r="N36" s="224"/>
      <c r="O36" s="494" t="s">
        <v>294</v>
      </c>
      <c r="R36" s="225">
        <f>SUM(R33:R35)</f>
        <v>3.368930214439235</v>
      </c>
      <c r="S36" s="117"/>
    </row>
    <row r="37" spans="1:19" ht="34.5" customHeight="1" thickBot="1">
      <c r="A37" s="226"/>
      <c r="B37" s="226"/>
      <c r="C37" s="227"/>
      <c r="D37" s="489" t="s">
        <v>224</v>
      </c>
      <c r="E37" s="229"/>
      <c r="F37" s="230"/>
      <c r="G37" s="231"/>
      <c r="H37" s="230"/>
      <c r="I37" s="232"/>
      <c r="J37" s="233"/>
      <c r="K37" s="647" t="s">
        <v>487</v>
      </c>
      <c r="L37" s="647"/>
      <c r="M37" s="647"/>
      <c r="N37" s="648"/>
      <c r="O37" s="493" t="s">
        <v>446</v>
      </c>
    </row>
    <row r="38" spans="1:19" ht="20" customHeight="1" thickBot="1">
      <c r="A38" s="226"/>
      <c r="B38" s="226"/>
      <c r="C38" s="227"/>
      <c r="D38" s="228"/>
      <c r="E38" s="229"/>
      <c r="F38" s="230"/>
      <c r="G38" s="231"/>
      <c r="H38" s="230"/>
      <c r="I38" s="232"/>
      <c r="J38" s="233"/>
      <c r="K38" s="234"/>
      <c r="L38" s="223"/>
      <c r="M38" s="224"/>
      <c r="N38" s="224"/>
      <c r="O38" s="234"/>
    </row>
    <row r="39" spans="1:19" ht="47" thickBot="1">
      <c r="A39" s="235"/>
      <c r="B39" s="628" t="s">
        <v>120</v>
      </c>
      <c r="C39" s="629"/>
      <c r="D39" s="629"/>
      <c r="E39" s="629"/>
      <c r="F39" s="629"/>
      <c r="G39" s="629"/>
      <c r="H39" s="629"/>
      <c r="I39" s="630"/>
      <c r="J39" s="236" t="s">
        <v>121</v>
      </c>
      <c r="K39" s="237" t="s">
        <v>122</v>
      </c>
      <c r="L39" s="238" t="s">
        <v>116</v>
      </c>
      <c r="M39" s="239" t="s">
        <v>92</v>
      </c>
      <c r="N39" s="240" t="s">
        <v>93</v>
      </c>
      <c r="O39" s="224"/>
    </row>
    <row r="40" spans="1:19" ht="19.5" customHeight="1">
      <c r="A40" s="631" t="s">
        <v>123</v>
      </c>
      <c r="B40" s="241" t="s">
        <v>124</v>
      </c>
      <c r="C40" s="242">
        <f>I36</f>
        <v>9.7723185504394142E-2</v>
      </c>
      <c r="D40" s="243" t="s">
        <v>125</v>
      </c>
      <c r="E40" s="243"/>
      <c r="F40" s="243"/>
      <c r="G40" s="243"/>
      <c r="H40" s="244">
        <f>J36</f>
        <v>69.526424829337984</v>
      </c>
      <c r="I40" s="245" t="s">
        <v>126</v>
      </c>
      <c r="J40" s="246">
        <v>8.7999999999999995E-2</v>
      </c>
      <c r="K40" s="247">
        <v>9.7699999999999995E-2</v>
      </c>
      <c r="L40" s="602" t="s">
        <v>445</v>
      </c>
      <c r="M40" s="248" t="s">
        <v>447</v>
      </c>
      <c r="N40" s="248" t="s">
        <v>448</v>
      </c>
      <c r="O40" s="249" t="s">
        <v>127</v>
      </c>
    </row>
    <row r="41" spans="1:19" ht="19" thickBot="1">
      <c r="A41" s="632"/>
      <c r="B41" s="250" t="s">
        <v>124</v>
      </c>
      <c r="C41" s="251">
        <f>I36*E36</f>
        <v>0.15239092243424154</v>
      </c>
      <c r="D41" s="252" t="s">
        <v>128</v>
      </c>
      <c r="E41" s="253"/>
      <c r="F41" s="254"/>
      <c r="G41" s="255">
        <f>E36</f>
        <v>1.5594141927290046</v>
      </c>
      <c r="H41" s="252" t="s">
        <v>129</v>
      </c>
      <c r="I41" s="256"/>
      <c r="J41" s="257">
        <v>0.13730000000000001</v>
      </c>
      <c r="K41" s="258">
        <v>0.15240000000000001</v>
      </c>
      <c r="L41" s="603" t="s">
        <v>445</v>
      </c>
      <c r="M41" s="259" t="s">
        <v>449</v>
      </c>
      <c r="N41" s="259" t="s">
        <v>450</v>
      </c>
      <c r="O41" s="260" t="s">
        <v>451</v>
      </c>
      <c r="P41" s="15" t="s">
        <v>435</v>
      </c>
    </row>
    <row r="42" spans="1:19" ht="19" thickBot="1">
      <c r="A42" s="261"/>
      <c r="B42" s="262"/>
      <c r="C42" s="263"/>
      <c r="D42" s="264"/>
      <c r="E42" s="265"/>
      <c r="F42" s="266"/>
      <c r="G42" s="267"/>
      <c r="H42" s="264"/>
      <c r="I42" s="266"/>
      <c r="J42" s="268"/>
      <c r="K42" s="268"/>
      <c r="L42" s="269"/>
      <c r="M42" s="270"/>
      <c r="N42" s="270"/>
      <c r="O42" s="271"/>
    </row>
    <row r="43" spans="1:19" ht="19" thickBot="1">
      <c r="A43" s="272"/>
      <c r="B43" s="272"/>
      <c r="C43" s="234"/>
      <c r="D43" s="234"/>
      <c r="E43" s="234"/>
      <c r="F43" s="234"/>
      <c r="G43" s="234"/>
      <c r="H43" s="234"/>
      <c r="I43" s="273"/>
      <c r="J43" s="274"/>
      <c r="K43" s="275" t="s">
        <v>130</v>
      </c>
      <c r="L43" s="530" t="s">
        <v>452</v>
      </c>
      <c r="M43" s="276"/>
      <c r="N43" s="277"/>
      <c r="O43" s="278"/>
    </row>
    <row r="44" spans="1:19">
      <c r="A44" s="112"/>
      <c r="C44" s="1"/>
      <c r="I44" s="109" t="s">
        <v>131</v>
      </c>
      <c r="J44" s="279">
        <f>G41</f>
        <v>1.5594141927290046</v>
      </c>
      <c r="K44" s="279">
        <f>J44</f>
        <v>1.5594141927290046</v>
      </c>
    </row>
    <row r="45" spans="1:19">
      <c r="A45" s="112"/>
      <c r="C45" s="1"/>
      <c r="I45" s="15"/>
      <c r="J45" s="3" t="s">
        <v>81</v>
      </c>
      <c r="K45" s="3" t="s">
        <v>82</v>
      </c>
      <c r="L45" s="3" t="s">
        <v>132</v>
      </c>
    </row>
    <row r="46" spans="1:19" ht="17">
      <c r="I46" s="280" t="s">
        <v>263</v>
      </c>
      <c r="J46" s="604">
        <f>J40*100*J44</f>
        <v>13.722844896015239</v>
      </c>
      <c r="K46" s="604">
        <f>K40*100*K44</f>
        <v>15.235476662962375</v>
      </c>
      <c r="L46" s="605">
        <f>((J46*I8)+(K46*J8))/K8</f>
        <v>14.479231359475051</v>
      </c>
      <c r="M46" s="281"/>
      <c r="N46" s="281"/>
    </row>
    <row r="47" spans="1:19">
      <c r="B47" s="1"/>
      <c r="C47" s="1"/>
    </row>
    <row r="48" spans="1:19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</sheetData>
  <mergeCells count="20">
    <mergeCell ref="L31:O31"/>
    <mergeCell ref="B39:I39"/>
    <mergeCell ref="A40:A41"/>
    <mergeCell ref="F31:F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  <mergeCell ref="K37:N37"/>
    <mergeCell ref="B3:D3"/>
    <mergeCell ref="E3:G3"/>
    <mergeCell ref="I3:K3"/>
    <mergeCell ref="L3:M3"/>
    <mergeCell ref="D10:F10"/>
  </mergeCells>
  <pageMargins left="0.7" right="0.7" top="0.75" bottom="0.75" header="0.3" footer="0.3"/>
  <ignoredErrors>
    <ignoredError sqref="H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338F-A5E5-4276-8D59-401A8C162742}">
  <dimension ref="A1:S67"/>
  <sheetViews>
    <sheetView zoomScale="70" zoomScaleNormal="70" workbookViewId="0"/>
  </sheetViews>
  <sheetFormatPr baseColWidth="10" defaultColWidth="16" defaultRowHeight="13"/>
  <cols>
    <col min="1" max="1" width="22.26953125" style="1" customWidth="1"/>
    <col min="2" max="2" width="23.54296875" style="112" customWidth="1"/>
    <col min="3" max="3" width="15" style="112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17"/>
    </row>
    <row r="2" spans="1:19" ht="20.25" customHeight="1">
      <c r="A2" s="118" t="s">
        <v>73</v>
      </c>
      <c r="B2" s="119" t="str">
        <f>A4</f>
        <v>Mortalidad por causa cardiovascular, Subgr [+ - FEVIr, con DM2], en 18 meses</v>
      </c>
      <c r="C2" s="120"/>
      <c r="O2" s="121"/>
      <c r="P2" s="122"/>
    </row>
    <row r="3" spans="1:19" ht="26">
      <c r="A3" s="13" t="s">
        <v>6</v>
      </c>
      <c r="B3" s="641" t="s">
        <v>74</v>
      </c>
      <c r="C3" s="642"/>
      <c r="D3" s="643"/>
      <c r="E3" s="641" t="s">
        <v>75</v>
      </c>
      <c r="F3" s="642"/>
      <c r="G3" s="643"/>
      <c r="H3" s="123" t="s">
        <v>76</v>
      </c>
      <c r="I3" s="641" t="s">
        <v>77</v>
      </c>
      <c r="J3" s="642"/>
      <c r="K3" s="643"/>
      <c r="L3" s="641" t="s">
        <v>78</v>
      </c>
      <c r="M3" s="643"/>
      <c r="N3" s="124" t="s">
        <v>79</v>
      </c>
      <c r="O3" s="122"/>
    </row>
    <row r="4" spans="1:19" ht="52">
      <c r="A4" s="559" t="s">
        <v>379</v>
      </c>
      <c r="B4" s="560" t="s">
        <v>9</v>
      </c>
      <c r="C4" s="560" t="s">
        <v>10</v>
      </c>
      <c r="D4" s="560" t="s">
        <v>11</v>
      </c>
      <c r="E4" s="560" t="s">
        <v>9</v>
      </c>
      <c r="F4" s="560" t="s">
        <v>10</v>
      </c>
      <c r="G4" s="560" t="s">
        <v>11</v>
      </c>
      <c r="H4" s="126" t="s">
        <v>80</v>
      </c>
      <c r="I4" s="127" t="s">
        <v>81</v>
      </c>
      <c r="J4" s="128" t="s">
        <v>82</v>
      </c>
      <c r="K4" s="127" t="s">
        <v>11</v>
      </c>
      <c r="L4" s="129" t="s">
        <v>81</v>
      </c>
      <c r="M4" s="130" t="s">
        <v>83</v>
      </c>
      <c r="N4" s="131" t="s">
        <v>80</v>
      </c>
      <c r="O4" s="613"/>
      <c r="P4" s="614" t="s">
        <v>84</v>
      </c>
      <c r="Q4" s="614" t="s">
        <v>84</v>
      </c>
    </row>
    <row r="5" spans="1:19">
      <c r="A5" s="561" t="s">
        <v>231</v>
      </c>
      <c r="B5" s="562">
        <v>121</v>
      </c>
      <c r="C5" s="563">
        <f>D5-B5</f>
        <v>954</v>
      </c>
      <c r="D5" s="564">
        <v>1075</v>
      </c>
      <c r="E5" s="562">
        <v>148</v>
      </c>
      <c r="F5" s="563">
        <f>G5-E5</f>
        <v>916</v>
      </c>
      <c r="G5" s="564">
        <v>1064</v>
      </c>
      <c r="H5" s="522">
        <v>1.4166666666666667</v>
      </c>
      <c r="I5" s="132">
        <f t="shared" ref="I5:I8" si="0">D5*H5</f>
        <v>1522.9166666666667</v>
      </c>
      <c r="J5" s="132">
        <f t="shared" ref="J5:J8" si="1">G5*H5</f>
        <v>1507.3333333333335</v>
      </c>
      <c r="K5" s="132">
        <f>I5+J5</f>
        <v>3030.25</v>
      </c>
      <c r="L5" s="133">
        <f t="shared" ref="L5:L9" si="2">B5/I5</f>
        <v>7.9452804377564981E-2</v>
      </c>
      <c r="M5" s="133">
        <f t="shared" ref="M5:M9" si="3">E5/J5</f>
        <v>9.8186643078283939E-2</v>
      </c>
      <c r="N5" s="134">
        <v>66.349999999999994</v>
      </c>
      <c r="O5" s="615">
        <f>N5*(D5+G5)</f>
        <v>141922.65</v>
      </c>
      <c r="P5" s="613" t="str">
        <f t="shared" ref="P5:P9" si="4">CONCATENATE(B5," ",$P$4," ",D5)</f>
        <v>121 / 1075</v>
      </c>
      <c r="Q5" s="613" t="str">
        <f t="shared" ref="Q5:Q9" si="5">CONCATENATE(E5," ",$Q$4," ",G5)</f>
        <v>148 / 1064</v>
      </c>
    </row>
    <row r="6" spans="1:19">
      <c r="A6" s="561" t="s">
        <v>230</v>
      </c>
      <c r="B6" s="562">
        <v>104</v>
      </c>
      <c r="C6" s="563">
        <f t="shared" ref="C6:C8" si="6">D6-B6</f>
        <v>823</v>
      </c>
      <c r="D6" s="564">
        <v>927</v>
      </c>
      <c r="E6" s="562">
        <v>113</v>
      </c>
      <c r="F6" s="563">
        <f t="shared" ref="F6:F8" si="7">G6-E6</f>
        <v>816</v>
      </c>
      <c r="G6" s="564">
        <v>929</v>
      </c>
      <c r="H6" s="522">
        <v>1.25</v>
      </c>
      <c r="I6" s="132">
        <f t="shared" si="0"/>
        <v>1158.75</v>
      </c>
      <c r="J6" s="132">
        <f t="shared" si="1"/>
        <v>1161.25</v>
      </c>
      <c r="K6" s="132">
        <f t="shared" ref="K6:K8" si="8">I6+J6</f>
        <v>2320</v>
      </c>
      <c r="L6" s="133">
        <f t="shared" si="2"/>
        <v>8.9751887810140235E-2</v>
      </c>
      <c r="M6" s="133">
        <f t="shared" si="3"/>
        <v>9.7308934337997852E-2</v>
      </c>
      <c r="N6" s="134">
        <v>66.849999999999994</v>
      </c>
      <c r="O6" s="615">
        <f t="shared" ref="O6:O8" si="9">N6*(D6+G6)</f>
        <v>124073.59999999999</v>
      </c>
      <c r="P6" s="613" t="str">
        <f t="shared" si="4"/>
        <v>104 / 927</v>
      </c>
      <c r="Q6" s="613" t="str">
        <f t="shared" si="5"/>
        <v>113 / 929</v>
      </c>
    </row>
    <row r="7" spans="1:19">
      <c r="A7" s="561" t="s">
        <v>296</v>
      </c>
      <c r="B7" s="562">
        <v>51</v>
      </c>
      <c r="C7" s="563">
        <f t="shared" si="6"/>
        <v>557</v>
      </c>
      <c r="D7" s="564">
        <v>608</v>
      </c>
      <c r="E7" s="562">
        <v>58</v>
      </c>
      <c r="F7" s="563">
        <f t="shared" si="7"/>
        <v>556</v>
      </c>
      <c r="G7" s="564">
        <v>614</v>
      </c>
      <c r="H7" s="522">
        <v>0.75</v>
      </c>
      <c r="I7" s="132">
        <f t="shared" si="0"/>
        <v>456</v>
      </c>
      <c r="J7" s="132">
        <f t="shared" si="1"/>
        <v>460.5</v>
      </c>
      <c r="K7" s="132">
        <f t="shared" si="8"/>
        <v>916.5</v>
      </c>
      <c r="L7" s="133">
        <f t="shared" si="2"/>
        <v>0.1118421052631579</v>
      </c>
      <c r="M7" s="133">
        <f t="shared" si="3"/>
        <v>0.1259500542888165</v>
      </c>
      <c r="N7" s="134">
        <v>69.5</v>
      </c>
      <c r="O7" s="615">
        <f t="shared" si="9"/>
        <v>84929</v>
      </c>
      <c r="P7" s="613" t="str">
        <f t="shared" si="4"/>
        <v>51 / 608</v>
      </c>
      <c r="Q7" s="613" t="str">
        <f t="shared" si="5"/>
        <v>58 / 614</v>
      </c>
    </row>
    <row r="8" spans="1:19">
      <c r="A8" s="561" t="s">
        <v>370</v>
      </c>
      <c r="B8" s="562">
        <v>120</v>
      </c>
      <c r="C8" s="563">
        <f t="shared" si="6"/>
        <v>1346</v>
      </c>
      <c r="D8" s="564">
        <v>1466</v>
      </c>
      <c r="E8" s="562">
        <v>123</v>
      </c>
      <c r="F8" s="563">
        <f t="shared" si="7"/>
        <v>1349</v>
      </c>
      <c r="G8" s="564">
        <v>1472</v>
      </c>
      <c r="H8" s="522">
        <v>2</v>
      </c>
      <c r="I8" s="132">
        <f t="shared" si="0"/>
        <v>2932</v>
      </c>
      <c r="J8" s="132">
        <f t="shared" si="1"/>
        <v>2944</v>
      </c>
      <c r="K8" s="132">
        <f t="shared" si="8"/>
        <v>5876</v>
      </c>
      <c r="L8" s="133">
        <f t="shared" si="2"/>
        <v>4.0927694406548434E-2</v>
      </c>
      <c r="M8" s="133">
        <f t="shared" si="3"/>
        <v>4.1779891304347824E-2</v>
      </c>
      <c r="N8" s="134">
        <v>71.849999999999994</v>
      </c>
      <c r="O8" s="615">
        <f t="shared" si="9"/>
        <v>211095.3</v>
      </c>
      <c r="P8" s="613" t="str">
        <f t="shared" si="4"/>
        <v>120 / 1466</v>
      </c>
      <c r="Q8" s="613" t="str">
        <f t="shared" si="5"/>
        <v>123 / 1472</v>
      </c>
    </row>
    <row r="9" spans="1:19">
      <c r="A9" s="600">
        <f>COUNT(D5:D8)</f>
        <v>4</v>
      </c>
      <c r="B9" s="136">
        <f>SUM(B5:B8)</f>
        <v>396</v>
      </c>
      <c r="C9" s="137"/>
      <c r="D9" s="136">
        <f>SUM(D5:D8)</f>
        <v>4076</v>
      </c>
      <c r="E9" s="136">
        <f>SUM(E5:E8)</f>
        <v>442</v>
      </c>
      <c r="F9" s="137"/>
      <c r="G9" s="136">
        <f>SUM(G5:G8)</f>
        <v>4079</v>
      </c>
      <c r="H9" s="523">
        <f>K9/(D9+G9)</f>
        <v>1.4889944819129368</v>
      </c>
      <c r="I9" s="138">
        <f>SUM(I5:I8)</f>
        <v>6069.666666666667</v>
      </c>
      <c r="J9" s="138">
        <f>SUM(J5:J8)</f>
        <v>6073.0833333333339</v>
      </c>
      <c r="K9" s="138">
        <f>SUM(K5:K8)</f>
        <v>12142.75</v>
      </c>
      <c r="L9" s="139">
        <f t="shared" si="2"/>
        <v>6.5242462518534786E-2</v>
      </c>
      <c r="M9" s="139">
        <f t="shared" si="3"/>
        <v>7.2780163837699127E-2</v>
      </c>
      <c r="N9" s="140">
        <f>O9/(D9+G9)</f>
        <v>68.917296137339065</v>
      </c>
      <c r="O9" s="616">
        <f>SUM(O5:O8)</f>
        <v>562020.55000000005</v>
      </c>
      <c r="P9" s="617" t="str">
        <f t="shared" si="4"/>
        <v>396 / 4076</v>
      </c>
      <c r="Q9" s="617" t="str">
        <f t="shared" si="5"/>
        <v>442 / 4079</v>
      </c>
    </row>
    <row r="10" spans="1:19" ht="15" thickBot="1">
      <c r="B10" s="1"/>
      <c r="C10" s="1"/>
      <c r="E10" s="141"/>
      <c r="F10" s="11"/>
      <c r="S10" s="117"/>
    </row>
    <row r="11" spans="1:19" ht="15" thickBot="1">
      <c r="B11" s="142" t="s">
        <v>85</v>
      </c>
      <c r="C11" s="143">
        <v>0.10836926234705348</v>
      </c>
      <c r="D11" s="644" t="s">
        <v>86</v>
      </c>
      <c r="E11" s="645"/>
      <c r="F11" s="646"/>
      <c r="S11" s="117"/>
    </row>
    <row r="12" spans="1:19" ht="26.5" thickBot="1">
      <c r="A12" s="144">
        <f>I38</f>
        <v>7.2780163837699127E-2</v>
      </c>
      <c r="B12" s="121" t="s">
        <v>87</v>
      </c>
      <c r="C12" s="15"/>
      <c r="D12" s="145" t="s">
        <v>88</v>
      </c>
      <c r="E12" s="146" t="s">
        <v>89</v>
      </c>
      <c r="F12" s="145" t="s">
        <v>90</v>
      </c>
      <c r="S12" s="117"/>
    </row>
    <row r="13" spans="1:19" ht="15" thickBot="1">
      <c r="A13" s="147">
        <f>E38</f>
        <v>1.4889944819129368</v>
      </c>
      <c r="B13" s="148" t="s">
        <v>91</v>
      </c>
      <c r="C13" s="15"/>
      <c r="D13" s="149">
        <v>0.89472646147614776</v>
      </c>
      <c r="E13" s="150">
        <v>0.78698832531717633</v>
      </c>
      <c r="F13" s="151">
        <v>1.0172162693066473</v>
      </c>
      <c r="G13" s="15"/>
      <c r="S13" s="117"/>
    </row>
    <row r="14" spans="1:19" ht="14.5" hidden="1">
      <c r="A14" s="152"/>
      <c r="B14" s="153"/>
      <c r="C14" s="1"/>
      <c r="S14" s="117"/>
    </row>
    <row r="15" spans="1:19" ht="15" hidden="1" thickBot="1">
      <c r="A15" s="152"/>
      <c r="B15" s="154"/>
      <c r="C15" s="155"/>
      <c r="D15" s="156">
        <f>C11*D13</f>
        <v>9.6960846632559494E-2</v>
      </c>
      <c r="E15" s="157">
        <f>C11*E13</f>
        <v>8.5285344290365356E-2</v>
      </c>
      <c r="F15" s="158">
        <f>C11*F13</f>
        <v>0.11023497675218306</v>
      </c>
      <c r="S15" s="117"/>
    </row>
    <row r="16" spans="1:19" ht="14.5" hidden="1">
      <c r="A16" s="152"/>
      <c r="B16" s="153"/>
      <c r="C16" s="1"/>
      <c r="S16" s="117"/>
    </row>
    <row r="17" spans="1:19" ht="15" hidden="1" thickBot="1">
      <c r="A17" s="152"/>
      <c r="B17" s="159"/>
      <c r="C17" s="160" t="s">
        <v>92</v>
      </c>
      <c r="D17" s="161">
        <f>C11-D15</f>
        <v>1.1408415714493983E-2</v>
      </c>
      <c r="E17" s="162">
        <f>C11-F15</f>
        <v>-1.8657144051295871E-3</v>
      </c>
      <c r="F17" s="163">
        <f>C11-E15</f>
        <v>2.3083918056688121E-2</v>
      </c>
      <c r="S17" s="117"/>
    </row>
    <row r="18" spans="1:19" ht="15" hidden="1" thickBot="1">
      <c r="A18" s="152"/>
      <c r="B18" s="164"/>
      <c r="C18" s="165" t="s">
        <v>93</v>
      </c>
      <c r="D18" s="166">
        <f>1/D17</f>
        <v>87.654589824381645</v>
      </c>
      <c r="E18" s="167">
        <f>1/F17</f>
        <v>43.32020229599928</v>
      </c>
      <c r="F18" s="168">
        <f>1/E17</f>
        <v>-535.98771454548694</v>
      </c>
      <c r="S18" s="117"/>
    </row>
    <row r="19" spans="1:19" ht="14.5" hidden="1">
      <c r="A19" s="152"/>
      <c r="B19" s="153"/>
      <c r="C19" s="15"/>
      <c r="D19" s="15"/>
      <c r="E19" s="15"/>
      <c r="F19" s="15"/>
      <c r="S19" s="117"/>
    </row>
    <row r="20" spans="1:19" ht="14.5" hidden="1">
      <c r="A20" s="152"/>
      <c r="B20" s="169" t="s">
        <v>94</v>
      </c>
      <c r="C20" s="170"/>
      <c r="D20" s="170"/>
      <c r="E20" s="171">
        <f>ROUND(D13,2)</f>
        <v>0.89</v>
      </c>
      <c r="F20" s="172">
        <f>ROUND(D17,4)</f>
        <v>1.14E-2</v>
      </c>
      <c r="G20" s="173">
        <f>ROUND(D18,0)</f>
        <v>88</v>
      </c>
      <c r="S20" s="117"/>
    </row>
    <row r="21" spans="1:19" ht="14.5" hidden="1">
      <c r="A21" s="152"/>
      <c r="B21" s="174" t="s">
        <v>95</v>
      </c>
      <c r="C21" s="175">
        <f>ROUND(D15,4)</f>
        <v>9.7000000000000003E-2</v>
      </c>
      <c r="D21" s="176">
        <f>ROUND(C11,4)</f>
        <v>0.1084</v>
      </c>
      <c r="E21" s="177">
        <f>ROUND(E13,2)</f>
        <v>0.79</v>
      </c>
      <c r="F21" s="178">
        <f>ROUND(E17,4)</f>
        <v>-1.9E-3</v>
      </c>
      <c r="G21" s="179">
        <f>ROUND(E18,0)</f>
        <v>43</v>
      </c>
      <c r="S21" s="117"/>
    </row>
    <row r="22" spans="1:19" ht="14.5" hidden="1">
      <c r="A22" s="152"/>
      <c r="B22" s="174" t="s">
        <v>96</v>
      </c>
      <c r="C22" s="180"/>
      <c r="D22" s="180"/>
      <c r="E22" s="177">
        <f>ROUND(F13,2)</f>
        <v>1.02</v>
      </c>
      <c r="F22" s="178">
        <f>ROUND(F17,4)</f>
        <v>2.3099999999999999E-2</v>
      </c>
      <c r="G22" s="179">
        <f>ROUND(F18,0)</f>
        <v>-536</v>
      </c>
      <c r="S22" s="117"/>
    </row>
    <row r="23" spans="1:19" ht="14.5" hidden="1">
      <c r="A23" s="152"/>
      <c r="B23" s="174" t="s">
        <v>97</v>
      </c>
      <c r="C23" s="181" t="s">
        <v>98</v>
      </c>
      <c r="D23" s="181" t="s">
        <v>99</v>
      </c>
      <c r="E23" s="182" t="s">
        <v>100</v>
      </c>
      <c r="F23" s="182" t="s">
        <v>101</v>
      </c>
      <c r="G23" s="181" t="s">
        <v>93</v>
      </c>
      <c r="S23" s="117"/>
    </row>
    <row r="24" spans="1:19" ht="14.5" hidden="1">
      <c r="A24" s="152"/>
      <c r="B24" s="183" t="s">
        <v>102</v>
      </c>
      <c r="C24" s="181" t="str">
        <f>CONCATENATE(C21*100,B23)</f>
        <v>9,7%</v>
      </c>
      <c r="D24" s="181" t="str">
        <f>CONCATENATE(D21*100,B23)</f>
        <v>10,84%</v>
      </c>
      <c r="E24" s="181" t="str">
        <f>CONCATENATE(E20," ",B20,E21,B21,E22,B22)</f>
        <v>0,89 (0,79-1,02)</v>
      </c>
      <c r="F24" s="181" t="str">
        <f>CONCATENATE(F20*100,B23," ",B20,F21*100,B23," ",B24," ",F22*100,B23,B22)</f>
        <v>1,14% (-0,19% a 2,31%)</v>
      </c>
      <c r="G24" s="181" t="str">
        <f>CONCATENATE(G20," ",B20,G21," ",B24," ",G22,B22)</f>
        <v>88 (43 a -536)</v>
      </c>
      <c r="S24" s="117"/>
    </row>
    <row r="25" spans="1:19" ht="14.5" hidden="1">
      <c r="A25" s="184"/>
      <c r="B25" s="153"/>
      <c r="D25" s="112"/>
      <c r="E25" s="112"/>
      <c r="F25" s="112"/>
      <c r="G25" s="112"/>
      <c r="S25" s="117"/>
    </row>
    <row r="26" spans="1:19" ht="15" thickBot="1">
      <c r="A26" s="144">
        <f>A12*A13</f>
        <v>0.10836926234705348</v>
      </c>
      <c r="B26" s="121" t="s">
        <v>103</v>
      </c>
      <c r="C26" s="1"/>
      <c r="S26" s="117"/>
    </row>
    <row r="27" spans="1:19" ht="15" thickBot="1">
      <c r="A27" s="185"/>
      <c r="B27" s="1"/>
      <c r="C27" s="186" t="s">
        <v>104</v>
      </c>
      <c r="D27" s="187" t="s">
        <v>99</v>
      </c>
      <c r="E27" s="187" t="s">
        <v>100</v>
      </c>
      <c r="F27" s="187" t="s">
        <v>92</v>
      </c>
      <c r="G27" s="188" t="s">
        <v>93</v>
      </c>
      <c r="S27" s="117"/>
    </row>
    <row r="28" spans="1:19" ht="26.5" thickBot="1">
      <c r="A28" s="189"/>
      <c r="B28" s="190"/>
      <c r="C28" s="191" t="str">
        <f>C24</f>
        <v>9,7%</v>
      </c>
      <c r="D28" s="192" t="str">
        <f>D24</f>
        <v>10,84%</v>
      </c>
      <c r="E28" s="192" t="str">
        <f>E24</f>
        <v>0,89 (0,79-1,02)</v>
      </c>
      <c r="F28" s="192" t="str">
        <f>F24</f>
        <v>1,14% (-0,19% a 2,31%)</v>
      </c>
      <c r="G28" s="193" t="str">
        <f>G24</f>
        <v>88 (43 a -536)</v>
      </c>
      <c r="S28" s="117"/>
    </row>
    <row r="29" spans="1:19" ht="14.5">
      <c r="B29" s="1"/>
      <c r="C29" s="1"/>
      <c r="E29" s="141"/>
      <c r="F29" s="11"/>
      <c r="S29" s="117"/>
    </row>
    <row r="30" spans="1:19" ht="15" thickBot="1">
      <c r="D30" s="141"/>
      <c r="E30" s="141"/>
      <c r="S30" s="117"/>
    </row>
    <row r="31" spans="1:19" ht="36" customHeight="1" thickBot="1">
      <c r="A31" s="558" t="s">
        <v>453</v>
      </c>
      <c r="B31" s="194" t="str">
        <f>B2</f>
        <v>Mortalidad por causa cardiovascular, Subgr [+ - FEVIr, con DM2], en 18 meses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6"/>
      <c r="S31" s="117"/>
    </row>
    <row r="32" spans="1:19" ht="36" customHeight="1" thickBot="1">
      <c r="A32" s="637" t="s">
        <v>105</v>
      </c>
      <c r="B32" s="633" t="s">
        <v>106</v>
      </c>
      <c r="C32" s="639" t="s">
        <v>107</v>
      </c>
      <c r="D32" s="637" t="s">
        <v>233</v>
      </c>
      <c r="E32" s="633" t="s">
        <v>108</v>
      </c>
      <c r="F32" s="633" t="s">
        <v>109</v>
      </c>
      <c r="G32" s="633" t="s">
        <v>110</v>
      </c>
      <c r="H32" s="633" t="s">
        <v>111</v>
      </c>
      <c r="I32" s="633" t="s">
        <v>112</v>
      </c>
      <c r="J32" s="633" t="s">
        <v>113</v>
      </c>
      <c r="K32" s="635" t="s">
        <v>114</v>
      </c>
      <c r="L32" s="625" t="s">
        <v>115</v>
      </c>
      <c r="M32" s="626"/>
      <c r="N32" s="626"/>
      <c r="O32" s="627"/>
      <c r="S32" s="117"/>
    </row>
    <row r="33" spans="1:19" ht="43.5" customHeight="1" thickBot="1">
      <c r="A33" s="638"/>
      <c r="B33" s="634"/>
      <c r="C33" s="640"/>
      <c r="D33" s="638"/>
      <c r="E33" s="634"/>
      <c r="F33" s="634"/>
      <c r="G33" s="634"/>
      <c r="H33" s="634"/>
      <c r="I33" s="634"/>
      <c r="J33" s="634"/>
      <c r="K33" s="636"/>
      <c r="L33" s="197" t="s">
        <v>116</v>
      </c>
      <c r="M33" s="198" t="s">
        <v>92</v>
      </c>
      <c r="N33" s="199" t="s">
        <v>93</v>
      </c>
      <c r="O33" s="200" t="s">
        <v>117</v>
      </c>
      <c r="S33" s="117"/>
    </row>
    <row r="34" spans="1:19" ht="44.5" customHeight="1">
      <c r="A34" s="521">
        <v>9</v>
      </c>
      <c r="B34" s="201" t="str">
        <f>A5</f>
        <v>20191121-ECA DAPA-HF 17m, FEVI 31+42DM [Dapa vs Pl],-MACE. McMurray</v>
      </c>
      <c r="C34" s="202" t="s">
        <v>118</v>
      </c>
      <c r="D34" s="203"/>
      <c r="E34" s="204">
        <f>H5</f>
        <v>1.4166666666666667</v>
      </c>
      <c r="F34" s="205" t="str">
        <f>P5</f>
        <v>121 / 1075</v>
      </c>
      <c r="G34" s="206">
        <f>L5</f>
        <v>7.9452804377564981E-2</v>
      </c>
      <c r="H34" s="205" t="str">
        <f>Q5</f>
        <v>148 / 1064</v>
      </c>
      <c r="I34" s="207">
        <f t="shared" ref="I34:J38" si="10">M5</f>
        <v>9.8186643078283939E-2</v>
      </c>
      <c r="J34" s="208">
        <f t="shared" si="10"/>
        <v>66.349999999999994</v>
      </c>
      <c r="K34" s="209">
        <v>0.32585556862002241</v>
      </c>
      <c r="L34" s="210" t="s">
        <v>454</v>
      </c>
      <c r="M34" s="211" t="s">
        <v>455</v>
      </c>
      <c r="N34" s="212" t="s">
        <v>456</v>
      </c>
      <c r="O34" s="18" t="s">
        <v>292</v>
      </c>
      <c r="Q34" s="27">
        <v>3.5</v>
      </c>
      <c r="R34" s="213">
        <f>Q34*K34</f>
        <v>1.1404944901700784</v>
      </c>
      <c r="S34" s="117"/>
    </row>
    <row r="35" spans="1:19" ht="44.5" customHeight="1">
      <c r="A35" s="214"/>
      <c r="B35" s="201" t="str">
        <f>A6</f>
        <v>20201008-ECA EMPEROR-red 15m, FEVI 27+50DM [Empa vs Pl], -MACE. Packer</v>
      </c>
      <c r="C35" s="202" t="s">
        <v>118</v>
      </c>
      <c r="D35" s="203"/>
      <c r="E35" s="204">
        <f>H6</f>
        <v>1.25</v>
      </c>
      <c r="F35" s="205" t="str">
        <f>P6</f>
        <v>104 / 927</v>
      </c>
      <c r="G35" s="206">
        <f>L6</f>
        <v>8.9751887810140235E-2</v>
      </c>
      <c r="H35" s="205" t="str">
        <f>Q6</f>
        <v>113 / 929</v>
      </c>
      <c r="I35" s="206">
        <f t="shared" si="10"/>
        <v>9.7308934337997852E-2</v>
      </c>
      <c r="J35" s="208">
        <f t="shared" si="10"/>
        <v>66.849999999999994</v>
      </c>
      <c r="K35" s="209">
        <v>0.26274877454182977</v>
      </c>
      <c r="L35" s="210" t="s">
        <v>457</v>
      </c>
      <c r="M35" s="211" t="s">
        <v>458</v>
      </c>
      <c r="N35" s="211" t="s">
        <v>459</v>
      </c>
      <c r="O35" s="18" t="s">
        <v>292</v>
      </c>
      <c r="Q35" s="27">
        <v>3.5</v>
      </c>
      <c r="R35" s="213">
        <f t="shared" ref="R35:R37" si="11">Q35*K35</f>
        <v>0.91962071089640418</v>
      </c>
      <c r="S35" s="117"/>
    </row>
    <row r="36" spans="1:19" ht="44.5" customHeight="1">
      <c r="A36" s="214"/>
      <c r="B36" s="201" t="str">
        <f>A7</f>
        <v>20210114-ECA SOLOIST 9m, FEVI 35+100DM [Sota vs Pl], -MortCV InsCar. Bhatt</v>
      </c>
      <c r="C36" s="202" t="s">
        <v>118</v>
      </c>
      <c r="D36" s="203"/>
      <c r="E36" s="204">
        <f>H7</f>
        <v>0.75</v>
      </c>
      <c r="F36" s="205" t="str">
        <f>P7</f>
        <v>51 / 608</v>
      </c>
      <c r="G36" s="206">
        <f>L7</f>
        <v>0.1118421052631579</v>
      </c>
      <c r="H36" s="205" t="str">
        <f>Q7</f>
        <v>58 / 614</v>
      </c>
      <c r="I36" s="206">
        <f t="shared" si="10"/>
        <v>0.1259500542888165</v>
      </c>
      <c r="J36" s="208">
        <f t="shared" si="10"/>
        <v>69.5</v>
      </c>
      <c r="K36" s="209">
        <v>0.12763265971455462</v>
      </c>
      <c r="L36" s="210" t="s">
        <v>270</v>
      </c>
      <c r="M36" s="211" t="s">
        <v>271</v>
      </c>
      <c r="N36" s="211" t="s">
        <v>272</v>
      </c>
      <c r="O36" s="565" t="s">
        <v>335</v>
      </c>
      <c r="P36" s="557"/>
      <c r="Q36" s="566">
        <v>3</v>
      </c>
      <c r="R36" s="213">
        <f t="shared" si="11"/>
        <v>0.38289797914366386</v>
      </c>
      <c r="S36" s="117"/>
    </row>
    <row r="37" spans="1:19" ht="44.5" customHeight="1" thickBot="1">
      <c r="A37" s="214"/>
      <c r="B37" s="201" t="str">
        <f>A8</f>
        <v>20211014-ECA Emperor-Pres 24m, FEVI 54+50DM, [Empa vs Pl], -ICC. Anker</v>
      </c>
      <c r="C37" s="202" t="s">
        <v>118</v>
      </c>
      <c r="D37" s="203"/>
      <c r="E37" s="204">
        <f>H8</f>
        <v>2</v>
      </c>
      <c r="F37" s="205" t="str">
        <f>P8</f>
        <v>120 / 1466</v>
      </c>
      <c r="G37" s="206">
        <f>L8</f>
        <v>4.0927694406548434E-2</v>
      </c>
      <c r="H37" s="205" t="str">
        <f>Q8</f>
        <v>123 / 1472</v>
      </c>
      <c r="I37" s="206">
        <f t="shared" si="10"/>
        <v>4.1779891304347824E-2</v>
      </c>
      <c r="J37" s="208">
        <f t="shared" si="10"/>
        <v>71.849999999999994</v>
      </c>
      <c r="K37" s="209">
        <v>0.28376299712359337</v>
      </c>
      <c r="L37" s="210" t="s">
        <v>460</v>
      </c>
      <c r="M37" s="211" t="s">
        <v>461</v>
      </c>
      <c r="N37" s="211" t="s">
        <v>462</v>
      </c>
      <c r="O37" s="18" t="s">
        <v>292</v>
      </c>
      <c r="Q37" s="27">
        <v>3.5</v>
      </c>
      <c r="R37" s="213">
        <f t="shared" si="11"/>
        <v>0.99317048993257684</v>
      </c>
      <c r="S37" s="117"/>
    </row>
    <row r="38" spans="1:19" ht="21.5" thickBot="1">
      <c r="A38" s="215" t="s">
        <v>119</v>
      </c>
      <c r="B38" s="216">
        <f>COUNT(E34:E37)</f>
        <v>4</v>
      </c>
      <c r="C38" s="217"/>
      <c r="D38" s="218" t="s">
        <v>241</v>
      </c>
      <c r="E38" s="219">
        <f>H9</f>
        <v>1.4889944819129368</v>
      </c>
      <c r="F38" s="220" t="str">
        <f>P9</f>
        <v>396 / 4076</v>
      </c>
      <c r="G38" s="221">
        <f>L9</f>
        <v>6.5242462518534786E-2</v>
      </c>
      <c r="H38" s="220" t="str">
        <f>Q9</f>
        <v>442 / 4079</v>
      </c>
      <c r="I38" s="221">
        <f t="shared" si="10"/>
        <v>7.2780163837699127E-2</v>
      </c>
      <c r="J38" s="219">
        <f t="shared" si="10"/>
        <v>68.917296137339065</v>
      </c>
      <c r="K38" s="222">
        <v>1</v>
      </c>
      <c r="L38" s="601" t="s">
        <v>463</v>
      </c>
      <c r="M38" s="223"/>
      <c r="N38" s="224"/>
      <c r="O38" s="494" t="s">
        <v>294</v>
      </c>
      <c r="R38" s="225">
        <f>SUM(R34:R37)</f>
        <v>3.4361836701427233</v>
      </c>
      <c r="S38" s="117"/>
    </row>
    <row r="39" spans="1:19" ht="21.5" customHeight="1" thickBot="1">
      <c r="A39" s="226"/>
      <c r="B39" s="226"/>
      <c r="C39" s="227"/>
      <c r="D39" s="489" t="s">
        <v>224</v>
      </c>
      <c r="E39" s="229"/>
      <c r="F39" s="230"/>
      <c r="G39" s="231"/>
      <c r="H39" s="230"/>
      <c r="I39" s="232"/>
      <c r="J39" s="233"/>
      <c r="K39" s="490"/>
      <c r="L39" s="491"/>
      <c r="M39" s="492"/>
      <c r="N39" s="608" t="s">
        <v>488</v>
      </c>
      <c r="O39" s="493" t="s">
        <v>293</v>
      </c>
    </row>
    <row r="40" spans="1:19" ht="13.5" thickBot="1">
      <c r="A40" s="226"/>
      <c r="B40" s="226"/>
      <c r="C40" s="227"/>
      <c r="D40" s="228"/>
      <c r="E40" s="229"/>
      <c r="F40" s="230"/>
      <c r="G40" s="231"/>
      <c r="H40" s="230"/>
      <c r="I40" s="232"/>
      <c r="J40" s="233"/>
      <c r="K40" s="234"/>
      <c r="L40" s="223"/>
      <c r="M40" s="224"/>
      <c r="N40" s="224"/>
      <c r="O40" s="234"/>
    </row>
    <row r="41" spans="1:19" ht="47" thickBot="1">
      <c r="A41" s="235"/>
      <c r="B41" s="628" t="s">
        <v>120</v>
      </c>
      <c r="C41" s="629"/>
      <c r="D41" s="629"/>
      <c r="E41" s="629"/>
      <c r="F41" s="629"/>
      <c r="G41" s="629"/>
      <c r="H41" s="629"/>
      <c r="I41" s="630"/>
      <c r="J41" s="236" t="s">
        <v>121</v>
      </c>
      <c r="K41" s="237" t="s">
        <v>122</v>
      </c>
      <c r="L41" s="238" t="s">
        <v>116</v>
      </c>
      <c r="M41" s="239" t="s">
        <v>92</v>
      </c>
      <c r="N41" s="240" t="s">
        <v>93</v>
      </c>
      <c r="O41" s="224"/>
    </row>
    <row r="42" spans="1:19" ht="19.5" customHeight="1">
      <c r="A42" s="631" t="s">
        <v>123</v>
      </c>
      <c r="B42" s="241" t="s">
        <v>124</v>
      </c>
      <c r="C42" s="242">
        <f>I38</f>
        <v>7.2780163837699127E-2</v>
      </c>
      <c r="D42" s="243" t="s">
        <v>125</v>
      </c>
      <c r="E42" s="243"/>
      <c r="F42" s="243"/>
      <c r="G42" s="243"/>
      <c r="H42" s="244">
        <f>J38</f>
        <v>68.917296137339065</v>
      </c>
      <c r="I42" s="245" t="s">
        <v>126</v>
      </c>
      <c r="J42" s="246">
        <v>6.5100000000000005E-2</v>
      </c>
      <c r="K42" s="247">
        <v>7.2800000000000004E-2</v>
      </c>
      <c r="L42" s="602" t="s">
        <v>463</v>
      </c>
      <c r="M42" s="248" t="s">
        <v>464</v>
      </c>
      <c r="N42" s="248" t="s">
        <v>465</v>
      </c>
      <c r="O42" s="249" t="s">
        <v>127</v>
      </c>
    </row>
    <row r="43" spans="1:19" ht="19" thickBot="1">
      <c r="A43" s="632"/>
      <c r="B43" s="250" t="s">
        <v>124</v>
      </c>
      <c r="C43" s="251">
        <f>I38*E38</f>
        <v>0.10836926234705348</v>
      </c>
      <c r="D43" s="252" t="s">
        <v>128</v>
      </c>
      <c r="E43" s="253"/>
      <c r="F43" s="254"/>
      <c r="G43" s="255">
        <f>E38</f>
        <v>1.4889944819129368</v>
      </c>
      <c r="H43" s="252" t="s">
        <v>129</v>
      </c>
      <c r="I43" s="256"/>
      <c r="J43" s="257">
        <v>9.7000000000000003E-2</v>
      </c>
      <c r="K43" s="258">
        <v>0.1084</v>
      </c>
      <c r="L43" s="603" t="s">
        <v>463</v>
      </c>
      <c r="M43" s="259" t="s">
        <v>466</v>
      </c>
      <c r="N43" s="259" t="s">
        <v>467</v>
      </c>
      <c r="O43" s="260" t="s">
        <v>468</v>
      </c>
      <c r="P43" s="15" t="s">
        <v>469</v>
      </c>
    </row>
    <row r="44" spans="1:19" ht="19" thickBot="1">
      <c r="A44" s="261"/>
      <c r="B44" s="262"/>
      <c r="C44" s="263"/>
      <c r="D44" s="264"/>
      <c r="E44" s="265"/>
      <c r="F44" s="266"/>
      <c r="G44" s="267"/>
      <c r="H44" s="264"/>
      <c r="I44" s="266"/>
      <c r="J44" s="268"/>
      <c r="K44" s="268"/>
      <c r="L44" s="269"/>
      <c r="M44" s="270"/>
      <c r="N44" s="270"/>
      <c r="O44" s="271"/>
    </row>
    <row r="45" spans="1:19" ht="19" thickBot="1">
      <c r="A45" s="272"/>
      <c r="B45" s="272"/>
      <c r="C45" s="234"/>
      <c r="D45" s="234"/>
      <c r="E45" s="234"/>
      <c r="F45" s="234"/>
      <c r="G45" s="234"/>
      <c r="H45" s="234"/>
      <c r="I45" s="273"/>
      <c r="J45" s="274"/>
      <c r="K45" s="275" t="s">
        <v>130</v>
      </c>
      <c r="L45" s="530" t="s">
        <v>470</v>
      </c>
      <c r="M45" s="276"/>
      <c r="N45" s="277"/>
      <c r="O45" s="278"/>
    </row>
    <row r="46" spans="1:19">
      <c r="A46" s="112"/>
      <c r="C46" s="1"/>
      <c r="I46" s="109" t="s">
        <v>131</v>
      </c>
      <c r="J46" s="279">
        <f>G43</f>
        <v>1.4889944819129368</v>
      </c>
      <c r="K46" s="279">
        <f>J46</f>
        <v>1.4889944819129368</v>
      </c>
    </row>
    <row r="47" spans="1:19">
      <c r="A47" s="112"/>
      <c r="C47" s="1"/>
      <c r="I47" s="15"/>
      <c r="J47" s="3" t="s">
        <v>81</v>
      </c>
      <c r="K47" s="3" t="s">
        <v>82</v>
      </c>
      <c r="L47" s="3" t="s">
        <v>132</v>
      </c>
    </row>
    <row r="48" spans="1:19" ht="17">
      <c r="I48" s="280" t="s">
        <v>263</v>
      </c>
      <c r="J48" s="604">
        <f>J42*100*J46</f>
        <v>9.6933540772532201</v>
      </c>
      <c r="K48" s="604">
        <f>K42*100*K46</f>
        <v>10.839879828326181</v>
      </c>
      <c r="L48" s="605">
        <f>((J48*I9)+(K48*J9))/K9</f>
        <v>10.2667782546495</v>
      </c>
      <c r="M48" s="281"/>
      <c r="N48" s="28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</sheetData>
  <mergeCells count="19">
    <mergeCell ref="L32:O32"/>
    <mergeCell ref="B41:I41"/>
    <mergeCell ref="A42:A4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B3:D3"/>
    <mergeCell ref="E3:G3"/>
    <mergeCell ref="I3:K3"/>
    <mergeCell ref="L3:M3"/>
    <mergeCell ref="D11:F11"/>
  </mergeCells>
  <pageMargins left="0.7" right="0.7" top="0.75" bottom="0.75" header="0.3" footer="0.3"/>
  <ignoredErrors>
    <ignoredError sqref="H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 1-3</vt:lpstr>
      <vt:lpstr>M1 11.11</vt:lpstr>
      <vt:lpstr>M2 11.11</vt:lpstr>
      <vt:lpstr>M3 11.11</vt:lpstr>
      <vt:lpstr>M1 11.01</vt:lpstr>
      <vt:lpstr>M2 11.01</vt:lpstr>
      <vt:lpstr>M3 11.01</vt:lpstr>
      <vt:lpstr>M1 11.10</vt:lpstr>
      <vt:lpstr>M2 11.10</vt:lpstr>
      <vt:lpstr>M3 11.10</vt:lpstr>
      <vt:lpstr>M3 10.01</vt:lpstr>
      <vt:lpstr>M3 10.10</vt:lpstr>
      <vt:lpstr>bast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2022-05-11T06:58:57Z</dcterms:created>
  <dcterms:modified xsi:type="dcterms:W3CDTF">2023-03-03T13:16:35Z</dcterms:modified>
</cp:coreProperties>
</file>