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0410-Galo\0-Datos\10-Temas publc\20190113-Alert Valsartán\"/>
    </mc:Choice>
  </mc:AlternateContent>
  <xr:revisionPtr revIDLastSave="0" documentId="13_ncr:1_{A0647929-658F-4539-B040-55D4A708E3F1}" xr6:coauthVersionLast="36" xr6:coauthVersionMax="36" xr10:uidLastSave="{00000000-0000-0000-0000-000000000000}"/>
  <bookViews>
    <workbookView xWindow="0" yWindow="0" windowWidth="19200" windowHeight="6930" tabRatio="564" xr2:uid="{00000000-000D-0000-FFFF-FFFF00000000}"/>
  </bookViews>
  <sheets>
    <sheet name="Inc Acumul" sheetId="1" r:id="rId1"/>
  </sheets>
  <definedNames>
    <definedName name="ArticleComments" localSheetId="0">'Inc Acumul'!#REF!</definedName>
  </definedNames>
  <calcPr calcId="191029"/>
</workbook>
</file>

<file path=xl/calcChain.xml><?xml version="1.0" encoding="utf-8"?>
<calcChain xmlns="http://schemas.openxmlformats.org/spreadsheetml/2006/main">
  <c r="Q46" i="1" l="1"/>
  <c r="Q45" i="1"/>
  <c r="Q44" i="1"/>
  <c r="L45" i="1"/>
  <c r="L44" i="1"/>
  <c r="K45" i="1"/>
  <c r="K44" i="1"/>
  <c r="M44" i="1" l="1"/>
  <c r="N44" i="1" s="1"/>
  <c r="P44" i="1" s="1"/>
  <c r="R44" i="1" s="1"/>
  <c r="M45" i="1"/>
  <c r="S45" i="1" s="1"/>
  <c r="D9" i="1"/>
  <c r="K46" i="1" s="1"/>
  <c r="D53" i="1"/>
  <c r="B50" i="1"/>
  <c r="G58" i="1"/>
  <c r="E38" i="1"/>
  <c r="E37" i="1"/>
  <c r="I23" i="1"/>
  <c r="I22" i="1"/>
  <c r="C22" i="1"/>
  <c r="B22" i="1"/>
  <c r="I21" i="1"/>
  <c r="C21" i="1"/>
  <c r="D14" i="1"/>
  <c r="F9" i="1"/>
  <c r="E8" i="1"/>
  <c r="B14" i="1"/>
  <c r="G14" i="1"/>
  <c r="E51" i="1" s="1"/>
  <c r="E7" i="1"/>
  <c r="B21" i="1"/>
  <c r="C53" i="1"/>
  <c r="E58" i="1"/>
  <c r="F58" i="1"/>
  <c r="C23" i="1" l="1"/>
  <c r="L46" i="1"/>
  <c r="M46" i="1" s="1"/>
  <c r="N45" i="1"/>
  <c r="P45" i="1" s="1"/>
  <c r="R45" i="1" s="1"/>
  <c r="S44" i="1"/>
  <c r="U44" i="1" s="1"/>
  <c r="D22" i="1"/>
  <c r="J22" i="1" s="1"/>
  <c r="K53" i="1" s="1"/>
  <c r="D55" i="1" s="1"/>
  <c r="D59" i="1" s="1"/>
  <c r="O44" i="1"/>
  <c r="G23" i="1"/>
  <c r="D21" i="1"/>
  <c r="J21" i="1" s="1"/>
  <c r="K52" i="1" s="1"/>
  <c r="C55" i="1" s="1"/>
  <c r="C59" i="1" s="1"/>
  <c r="K14" i="1"/>
  <c r="E9" i="1"/>
  <c r="D38" i="1" s="1"/>
  <c r="D43" i="1" s="1"/>
  <c r="C38" i="1"/>
  <c r="C43" i="1" s="1"/>
  <c r="E39" i="1"/>
  <c r="N21" i="1"/>
  <c r="E22" i="1"/>
  <c r="G22" i="1"/>
  <c r="N23" i="1"/>
  <c r="C14" i="1"/>
  <c r="F14" i="1" s="1"/>
  <c r="I14" i="1" s="1"/>
  <c r="C37" i="1"/>
  <c r="E21" i="1"/>
  <c r="G21" i="1"/>
  <c r="B23" i="1"/>
  <c r="F22" i="1"/>
  <c r="T44" i="1" l="1"/>
  <c r="S46" i="1"/>
  <c r="N46" i="1"/>
  <c r="P46" i="1" s="1"/>
  <c r="R46" i="1" s="1"/>
  <c r="U45" i="1"/>
  <c r="T45" i="1"/>
  <c r="O45" i="1"/>
  <c r="E14" i="1"/>
  <c r="H14" i="1" s="1"/>
  <c r="E52" i="1" s="1"/>
  <c r="X21" i="1"/>
  <c r="J26" i="1"/>
  <c r="F51" i="1" s="1"/>
  <c r="F21" i="1"/>
  <c r="L21" i="1" s="1"/>
  <c r="M52" i="1" s="1"/>
  <c r="D37" i="1"/>
  <c r="K38" i="1" s="1"/>
  <c r="I37" i="1" s="1"/>
  <c r="K22" i="1"/>
  <c r="L53" i="1" s="1"/>
  <c r="L22" i="1"/>
  <c r="M53" i="1" s="1"/>
  <c r="D23" i="1"/>
  <c r="E23" i="1"/>
  <c r="E53" i="1"/>
  <c r="M14" i="1"/>
  <c r="C42" i="1"/>
  <c r="C39" i="1"/>
  <c r="U46" i="1" l="1"/>
  <c r="O46" i="1"/>
  <c r="T46" i="1"/>
  <c r="N22" i="1"/>
  <c r="N24" i="1" s="1"/>
  <c r="N25" i="1" s="1"/>
  <c r="N26" i="1" s="1"/>
  <c r="K21" i="1"/>
  <c r="L52" i="1" s="1"/>
  <c r="N52" i="1" s="1"/>
  <c r="L14" i="1"/>
  <c r="J27" i="1"/>
  <c r="G51" i="1" s="1"/>
  <c r="E55" i="1"/>
  <c r="E59" i="1" s="1"/>
  <c r="N53" i="1"/>
  <c r="D42" i="1"/>
  <c r="C45" i="1" s="1"/>
  <c r="D39" i="1"/>
  <c r="K26" i="1"/>
  <c r="F53" i="1" s="1"/>
  <c r="Q28" i="1"/>
  <c r="N31" i="1" s="1"/>
  <c r="N32" i="1" s="1"/>
  <c r="X22" i="1"/>
  <c r="X23" i="1" s="1"/>
  <c r="X24" i="1" s="1"/>
  <c r="X25" i="1" s="1"/>
  <c r="J23" i="1"/>
  <c r="K54" i="1" s="1"/>
  <c r="F23" i="1"/>
  <c r="L23" i="1" s="1"/>
  <c r="M54" i="1" s="1"/>
  <c r="L26" i="1" l="1"/>
  <c r="M59" i="1" s="1"/>
  <c r="K27" i="1"/>
  <c r="G53" i="1" s="1"/>
  <c r="G43" i="1"/>
  <c r="C46" i="1"/>
  <c r="J59" i="1" s="1"/>
  <c r="K23" i="1"/>
  <c r="L54" i="1" s="1"/>
  <c r="N54" i="1" s="1"/>
  <c r="N33" i="1"/>
  <c r="H53" i="1"/>
  <c r="H55" i="1" s="1"/>
  <c r="H59" i="1" s="1"/>
  <c r="L27" i="1" l="1"/>
  <c r="G52" i="1" s="1"/>
  <c r="G55" i="1" s="1"/>
  <c r="G59" i="1" s="1"/>
  <c r="F52" i="1"/>
  <c r="F55" i="1" s="1"/>
  <c r="F59" i="1" s="1"/>
  <c r="L59" i="1"/>
</calcChain>
</file>

<file path=xl/sharedStrings.xml><?xml version="1.0" encoding="utf-8"?>
<sst xmlns="http://schemas.openxmlformats.org/spreadsheetml/2006/main" count="256" uniqueCount="219">
  <si>
    <t>Límite inferior del IC</t>
  </si>
  <si>
    <t>Límite superior del IC</t>
  </si>
  <si>
    <t>Sin eventos</t>
  </si>
  <si>
    <t>Con eventos</t>
  </si>
  <si>
    <t>RR</t>
  </si>
  <si>
    <t>Z α/2 (0,05)</t>
  </si>
  <si>
    <t>pM = proporción "media" de los eventos = nº total eventos / nº suma de ambos grupos; qM= complementario</t>
  </si>
  <si>
    <t>C= 2(n+z^2)</t>
  </si>
  <si>
    <t>IC = (A+-B)/C</t>
  </si>
  <si>
    <t>A= 2*eventos + z^2</t>
  </si>
  <si>
    <t>p (proporción) = eventos / n</t>
  </si>
  <si>
    <t>Operar</t>
  </si>
  <si>
    <t>A continuación, se aplica: IC = RAR - Raíz [(p1-Li1)^2 + (Ls2-p2)^2]  hasta RAR + Raíz [(p2-Li2)^2 + (Ls1-p1)^2], cuidando colocar arriba la proporción mayor y abajo la menor</t>
  </si>
  <si>
    <t>CÁLCULO DE LA POTENCIA:</t>
  </si>
  <si>
    <t>n = nº de los que hay en cada grupo (ojo, no de la suma de ambos)</t>
  </si>
  <si>
    <t>d = diferencia de proporciones de ambos grupos o RAR</t>
  </si>
  <si>
    <t>1 -β = potencia estadística resultante =&gt; probab de detectar una diferencia entre ambos, en caso de que exista</t>
  </si>
  <si>
    <t>Expuestos</t>
  </si>
  <si>
    <t>No expuestos</t>
  </si>
  <si>
    <t>a</t>
  </si>
  <si>
    <t>Enferman</t>
  </si>
  <si>
    <t>No enferman</t>
  </si>
  <si>
    <t>Total</t>
  </si>
  <si>
    <t>RAR =</t>
  </si>
  <si>
    <t>NNT =</t>
  </si>
  <si>
    <t>ln RR</t>
  </si>
  <si>
    <t>n (de muestra)</t>
  </si>
  <si>
    <t>Aunque es mejor calcularlo por ji^2 de Pearson, puede utilizarse una aproximación al cálculo de la "p de la diferencia"</t>
  </si>
  <si>
    <t>Coinciden z^2 de una distribución normal tipificada (=&gt; muestras grandes) con ji^2 con un grado de libertad (EA, pág 254)</t>
  </si>
  <si>
    <t>Totales</t>
  </si>
  <si>
    <t xml:space="preserve">χ² teórico alfa 0,05, y 1 g.l = </t>
  </si>
  <si>
    <t>Grados de libertad = (Nº filas - 1 ) x (Nº columnas -1) =</t>
  </si>
  <si>
    <t>Esperadas</t>
  </si>
  <si>
    <t>Si χ² cal &lt; χ² teórico =&gt;</t>
  </si>
  <si>
    <t>Se acepta Ho =&gt; existe homogeneidad o independencia de la intervención estudiada</t>
  </si>
  <si>
    <t>Si χ² cal &gt; χ² teórico =&gt;</t>
  </si>
  <si>
    <t>Se rechaza Ho =&gt; existe heterogenicidad o dependencia de la intervención estudiada</t>
  </si>
  <si>
    <t>χ² cal - χ² teórico =</t>
  </si>
  <si>
    <t>χ² cal=</t>
  </si>
  <si>
    <t>χ² cal= Suma [(ao-ae)^2/ae +(bo-be)^2/be + (co-ce)^2/ce + (do-de)^2/de)]</t>
  </si>
  <si>
    <t>Z α/2 = Dif Proporc / EE Dif proporc</t>
  </si>
  <si>
    <t>RRR</t>
  </si>
  <si>
    <t>(</t>
  </si>
  <si>
    <t>)</t>
  </si>
  <si>
    <t>-</t>
  </si>
  <si>
    <t>%</t>
  </si>
  <si>
    <t>NNT</t>
  </si>
  <si>
    <t>/</t>
  </si>
  <si>
    <t>RAR</t>
  </si>
  <si>
    <t>potencia</t>
  </si>
  <si>
    <t>Potencia</t>
  </si>
  <si>
    <t xml:space="preserve"> </t>
  </si>
  <si>
    <t>Nº event Interv (%)</t>
  </si>
  <si>
    <t>Nº event Control (%)</t>
  </si>
  <si>
    <r>
      <t>Zβ = [Raíz (nd^2 /2</t>
    </r>
    <r>
      <rPr>
        <i/>
        <sz val="10"/>
        <rFont val="Calibri"/>
        <family val="2"/>
      </rPr>
      <t>p</t>
    </r>
    <r>
      <rPr>
        <sz val="10"/>
        <rFont val="Calibri"/>
        <family val="2"/>
      </rPr>
      <t>m*</t>
    </r>
    <r>
      <rPr>
        <i/>
        <sz val="10"/>
        <rFont val="Calibri"/>
        <family val="2"/>
      </rPr>
      <t>q</t>
    </r>
    <r>
      <rPr>
        <sz val="10"/>
        <rFont val="Calibri"/>
        <family val="2"/>
      </rPr>
      <t>m)] - Z α/2 (0,05)</t>
    </r>
  </si>
  <si>
    <r>
      <t xml:space="preserve">CÁLCULO DE LA </t>
    </r>
    <r>
      <rPr>
        <b/>
        <i/>
        <sz val="9"/>
        <rFont val="Calibri"/>
        <family val="2"/>
      </rPr>
      <t>p</t>
    </r>
  </si>
  <si>
    <r>
      <t>Corresponde a</t>
    </r>
    <r>
      <rPr>
        <b/>
        <i/>
        <sz val="10"/>
        <rFont val="Calibri"/>
        <family val="2"/>
      </rPr>
      <t xml:space="preserve"> p</t>
    </r>
    <r>
      <rPr>
        <sz val="10"/>
        <rFont val="Calibri"/>
        <family val="2"/>
      </rPr>
      <t>=</t>
    </r>
  </si>
  <si>
    <r>
      <t xml:space="preserve">Valor de </t>
    </r>
    <r>
      <rPr>
        <i/>
        <sz val="10"/>
        <rFont val="Calibri"/>
        <family val="2"/>
      </rPr>
      <t xml:space="preserve">p </t>
    </r>
    <r>
      <rPr>
        <b/>
        <sz val="10"/>
        <rFont val="Calibri"/>
        <family val="2"/>
      </rPr>
      <t>para la diferencia</t>
    </r>
  </si>
  <si>
    <t>Cálculo por incidencias acumuladas de RR, RAR, NNT con sus IC 95%, potencia estadística y valor de p</t>
  </si>
  <si>
    <t>EE del ln RR = Raíz (varianza del ln RR) = Raíz [b/ a(a+b)]+[d / c(c+d)]. También es igual a Raíz (1/a + 1/c - 1/a+b -1/c+d)</t>
  </si>
  <si>
    <t>EE del ln RR = Raíz (varianza del ln RR) = Raíz [b / a(a+b)]+[d/ c(c+d)]</t>
  </si>
  <si>
    <t>ln del LI IC</t>
  </si>
  <si>
    <t>ln del LS IC</t>
  </si>
  <si>
    <t>IC</t>
  </si>
  <si>
    <t>Intervención</t>
  </si>
  <si>
    <t>Control</t>
  </si>
  <si>
    <r>
      <t xml:space="preserve">Los límites del intervalos de confianza son los exponentes neperianos o antilogaritmos de la ecuación [ ln RR + - Z </t>
    </r>
    <r>
      <rPr>
        <b/>
        <vertAlign val="subscript"/>
        <sz val="10"/>
        <rFont val="Calibri"/>
        <family val="2"/>
      </rPr>
      <t>α/2</t>
    </r>
    <r>
      <rPr>
        <b/>
        <sz val="10"/>
        <rFont val="Calibri"/>
        <family val="2"/>
      </rPr>
      <t xml:space="preserve"> * EE (ln RR) ]</t>
    </r>
  </si>
  <si>
    <t>LI del IC</t>
  </si>
  <si>
    <t>LS del IC</t>
  </si>
  <si>
    <r>
      <t xml:space="preserve">MÉTODO DE NEWCOMBE-WILSON: </t>
    </r>
    <r>
      <rPr>
        <sz val="10"/>
        <rFont val="Calibri"/>
        <family val="2"/>
      </rPr>
      <t>Que puede utilizarse sin necesidad de estar pendientes del tamaño del amuestra o de proporciones cuyo p &lt;5 / n. Por ello puede utilizarse para las excepciones anteriores y para todas todas</t>
    </r>
  </si>
  <si>
    <t>Para calcular el IC 95% se sigue la iteración de calcular tres valores, que denominamos A, B y C. Pues bien, el IC = (A+-B) / C; y sale directamente sin sumar ni restar a la estimación puntual. Se observará que los extremos tienen distinta extensión.</t>
  </si>
  <si>
    <r>
      <t>p</t>
    </r>
    <r>
      <rPr>
        <sz val="10"/>
        <rFont val="Calibri"/>
        <family val="2"/>
      </rPr>
      <t xml:space="preserve"> = eventos / n</t>
    </r>
  </si>
  <si>
    <r>
      <t xml:space="preserve">B= z * Raíz [z^2 + 4*eventos (1 - </t>
    </r>
    <r>
      <rPr>
        <i/>
        <sz val="10"/>
        <rFont val="Calibri"/>
        <family val="2"/>
      </rPr>
      <t>p</t>
    </r>
    <r>
      <rPr>
        <sz val="10"/>
        <rFont val="Calibri"/>
        <family val="2"/>
      </rPr>
      <t xml:space="preserve">)] </t>
    </r>
  </si>
  <si>
    <t>eventos</t>
  </si>
  <si>
    <t>Proporción</t>
  </si>
  <si>
    <r>
      <t xml:space="preserve">Z 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= Dif Proporc / EE</t>
    </r>
    <r>
      <rPr>
        <vertAlign val="subscript"/>
        <sz val="10"/>
        <rFont val="Calibri"/>
        <family val="2"/>
      </rPr>
      <t xml:space="preserve"> dif proporc</t>
    </r>
  </si>
  <si>
    <t xml:space="preserve"> p (no rechazar Ho │ Ho verdadera)</t>
  </si>
  <si>
    <t>Dif Proporc =  RAR</t>
  </si>
  <si>
    <r>
      <t xml:space="preserve">1-α =  p (no rechazar Ho </t>
    </r>
    <r>
      <rPr>
        <sz val="10"/>
        <rFont val="Calibri"/>
        <family val="2"/>
      </rPr>
      <t>│ Ho verdadera)</t>
    </r>
  </si>
  <si>
    <r>
      <t xml:space="preserve">EE </t>
    </r>
    <r>
      <rPr>
        <vertAlign val="subscript"/>
        <sz val="10"/>
        <rFont val="Calibri"/>
        <family val="2"/>
      </rPr>
      <t>dif proporc</t>
    </r>
    <r>
      <rPr>
        <sz val="10"/>
        <rFont val="Calibri"/>
        <family val="2"/>
      </rPr>
      <t xml:space="preserve"> = Raíz{ [PM*(1-PM)/n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>] + [PM*(1-PM)/n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 xml:space="preserve">] }= </t>
    </r>
  </si>
  <si>
    <r>
      <t>Zβ = [Raíz (n* Dif Proporc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/2PM</t>
    </r>
    <r>
      <rPr>
        <sz val="10"/>
        <rFont val="Calibri"/>
        <family val="2"/>
      </rPr>
      <t>*(1-PM)] - Z α/2</t>
    </r>
  </si>
  <si>
    <t>α = probab de que la diferencia detectada entre ambos sea debida al azar, en caso de que no exista</t>
  </si>
  <si>
    <t>1-α = nivel e confianza =  p (no rechazar Ho │ Ho verdadera)</t>
  </si>
  <si>
    <t xml:space="preserve"> β =&gt; probabilidad de no detectar una diferencia que sí exista.</t>
  </si>
  <si>
    <t>Potencia de contraste</t>
  </si>
  <si>
    <r>
      <t xml:space="preserve">1 -β =  p (rechazar Ho </t>
    </r>
    <r>
      <rPr>
        <sz val="10"/>
        <rFont val="Calibri"/>
        <family val="2"/>
      </rPr>
      <t>│ Ho falsa)</t>
    </r>
  </si>
  <si>
    <t>DM: diferencia de proporciones</t>
  </si>
  <si>
    <r>
      <t>Z</t>
    </r>
    <r>
      <rPr>
        <vertAlign val="subscript"/>
        <sz val="10"/>
        <rFont val="Calibri"/>
        <family val="2"/>
      </rPr>
      <t>1-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* 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 xml:space="preserve"> + 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 * 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 xml:space="preserve"> = DM</t>
    </r>
  </si>
  <si>
    <t>=&gt;</t>
  </si>
  <si>
    <r>
      <t>EEDM (Z</t>
    </r>
    <r>
      <rPr>
        <vertAlign val="subscript"/>
        <sz val="10"/>
        <rFont val="Calibri"/>
        <family val="2"/>
      </rPr>
      <t>1-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+ 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) </t>
    </r>
    <r>
      <rPr>
        <sz val="10"/>
        <rFont val="Calibri"/>
        <family val="2"/>
      </rPr>
      <t>= DM</t>
    </r>
  </si>
  <si>
    <r>
      <t>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  =  (DM/EE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>) - Z</t>
    </r>
    <r>
      <rPr>
        <vertAlign val="subscript"/>
        <sz val="10"/>
        <rFont val="Calibri"/>
        <family val="2"/>
      </rPr>
      <t>1-α/2</t>
    </r>
    <r>
      <rPr>
        <sz val="10"/>
        <rFont val="Calibri"/>
        <family val="2"/>
      </rPr>
      <t xml:space="preserve"> </t>
    </r>
  </si>
  <si>
    <t>1 -β =  potencia estadística resultante =  p de detectar una diferencia entre ambos, en caso de que exista</t>
  </si>
  <si>
    <t>β =  probabilidad de no detectar una diferencia que sí exista =  p (no rechazar Ho │ Ho falsa)</t>
  </si>
  <si>
    <t>Chi cuadrado de Pearson</t>
  </si>
  <si>
    <t>Cálculo por incidencias acumuladas</t>
  </si>
  <si>
    <t>% Intervención (Fact Box)</t>
  </si>
  <si>
    <t>% Control (Fact Box)</t>
  </si>
  <si>
    <r>
      <t>Abreviaturas</t>
    </r>
    <r>
      <rPr>
        <sz val="10"/>
        <rFont val="Calibri"/>
        <family val="2"/>
      </rPr>
      <t xml:space="preserve">: </t>
    </r>
    <r>
      <rPr>
        <b/>
        <sz val="10"/>
        <rFont val="Calibri"/>
        <family val="2"/>
      </rPr>
      <t>RA</t>
    </r>
    <r>
      <rPr>
        <sz val="10"/>
        <rFont val="Calibri"/>
        <family val="2"/>
      </rPr>
      <t>: Riesgo Absoluto;</t>
    </r>
    <r>
      <rPr>
        <b/>
        <sz val="10"/>
        <rFont val="Calibri"/>
        <family val="2"/>
      </rPr>
      <t xml:space="preserve"> RR</t>
    </r>
    <r>
      <rPr>
        <sz val="10"/>
        <rFont val="Calibri"/>
        <family val="2"/>
      </rPr>
      <t xml:space="preserve">: Riesgo Relativo; </t>
    </r>
    <r>
      <rPr>
        <b/>
        <sz val="10"/>
        <rFont val="Calibri"/>
        <family val="2"/>
      </rPr>
      <t>RAR</t>
    </r>
    <r>
      <rPr>
        <sz val="10"/>
        <rFont val="Calibri"/>
        <family val="2"/>
      </rPr>
      <t xml:space="preserve">: Reducción Absoluta del Riesgo; </t>
    </r>
    <r>
      <rPr>
        <b/>
        <sz val="10"/>
        <rFont val="Calibri"/>
        <family val="2"/>
      </rPr>
      <t>NNT</t>
    </r>
    <r>
      <rPr>
        <sz val="10"/>
        <rFont val="Calibri"/>
        <family val="2"/>
      </rPr>
      <t xml:space="preserve">: Número Necesario a Tratar con la intervención, para evitar un evento más que con el control; </t>
    </r>
    <r>
      <rPr>
        <b/>
        <sz val="10"/>
        <rFont val="Calibri"/>
        <family val="2"/>
      </rPr>
      <t>IC</t>
    </r>
    <r>
      <rPr>
        <sz val="10"/>
        <rFont val="Calibri"/>
        <family val="2"/>
      </rPr>
      <t>: intervalo de confianza.</t>
    </r>
  </si>
  <si>
    <r>
      <t xml:space="preserve">Z </t>
    </r>
    <r>
      <rPr>
        <vertAlign val="subscript"/>
        <sz val="10"/>
        <rFont val="Calibri"/>
        <family val="2"/>
      </rPr>
      <t>α/2</t>
    </r>
  </si>
  <si>
    <r>
      <t>Ls1:</t>
    </r>
    <r>
      <rPr>
        <sz val="10"/>
        <rFont val="Calibri"/>
        <family val="2"/>
      </rPr>
      <t xml:space="preserve"> límite superior del grupo 1; Li2: límite inferior del grupo 2</t>
    </r>
  </si>
  <si>
    <t>p (proporción) = eventos / n [p1, p2 y p"media"]</t>
  </si>
  <si>
    <t>q = (1-p)</t>
  </si>
  <si>
    <t>Varianza= S^2= p.q</t>
  </si>
  <si>
    <t>EE (proporción) = Raiz (p.q/n)</t>
  </si>
  <si>
    <t>Z α/2</t>
  </si>
  <si>
    <r>
      <t>χ² cal= Sumat (observado</t>
    </r>
    <r>
      <rPr>
        <vertAlign val="subscript"/>
        <sz val="8"/>
        <rFont val="Calibri"/>
        <family val="2"/>
      </rPr>
      <t xml:space="preserve"> i </t>
    </r>
    <r>
      <rPr>
        <sz val="8"/>
        <rFont val="Calibri"/>
        <family val="2"/>
      </rPr>
      <t xml:space="preserve">- esperado </t>
    </r>
    <r>
      <rPr>
        <vertAlign val="subscript"/>
        <sz val="8"/>
        <rFont val="Calibri"/>
        <family val="2"/>
      </rPr>
      <t>i</t>
    </r>
    <r>
      <rPr>
        <sz val="8"/>
        <rFont val="Calibri"/>
        <family val="2"/>
      </rPr>
      <t>)</t>
    </r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/ esperado </t>
    </r>
    <r>
      <rPr>
        <vertAlign val="subscript"/>
        <sz val="8"/>
        <rFont val="Calibri"/>
        <family val="2"/>
      </rPr>
      <t>i</t>
    </r>
    <r>
      <rPr>
        <sz val="8"/>
        <rFont val="Calibri"/>
        <family val="2"/>
      </rPr>
      <t>)</t>
    </r>
  </si>
  <si>
    <t>Método de Wald para la estimación puntual y el IC</t>
  </si>
  <si>
    <t>LI IC</t>
  </si>
  <si>
    <t>LS IC</t>
  </si>
  <si>
    <t>Si es &lt; 0 =&gt;Acepto Ho =&gt; Homogeneidad o independencia (o tratamiento no eficaz)</t>
  </si>
  <si>
    <t>Si es &gt; 0 =&gt;Rechazo Ho =&gt; Heterogenicidad o dependencia (o tratamiento eficaz)</t>
  </si>
  <si>
    <t>Estimación puntual e IC por el método de Newcombe-Wilson</t>
  </si>
  <si>
    <t>20180912-EstRet DIN 4,6y, pac valsart [nitrosam vs no], =CaTotal CCR Út. Pottegard</t>
  </si>
  <si>
    <t>Pottegard A, Kristensen KB, Ernst MT, Johansen NB, Quartarolo P, Hallas J. Use of N-nitrosodimethylamine (NDMA) contaminated valsartan products and risk of cancer: Danish nationwide cohort study. BMJ. 2018 Sep 12;362:k3851.</t>
  </si>
  <si>
    <r>
      <rPr>
        <b/>
        <sz val="12"/>
        <color indexed="60"/>
        <rFont val="Calibri"/>
        <family val="2"/>
      </rPr>
      <t>Tabla 1:</t>
    </r>
    <r>
      <rPr>
        <b/>
        <sz val="12"/>
        <rFont val="Calibri"/>
        <family val="2"/>
      </rPr>
      <t xml:space="preserve"> Características basales de los usuarios de valsartán que ingresaron al estudio, y entre aquellos potencialmente expuestos y no expuestos a N-nitrosodimetilamina (NDMA).</t>
    </r>
  </si>
  <si>
    <t>Características</t>
  </si>
  <si>
    <t>Todos (n= 5150)</t>
  </si>
  <si>
    <t>Sexo:</t>
  </si>
  <si>
    <t>Varones</t>
  </si>
  <si>
    <t>2531 (49,1%%)</t>
  </si>
  <si>
    <t>1630 (46,9%)</t>
  </si>
  <si>
    <t>1745 (43,6%)</t>
  </si>
  <si>
    <t>Mujeres</t>
  </si>
  <si>
    <t>2619 (50,9%)</t>
  </si>
  <si>
    <t>1820 (53,1%)</t>
  </si>
  <si>
    <t>1880 (56,4%)</t>
  </si>
  <si>
    <t>Edad (años)</t>
  </si>
  <si>
    <t>Mediana [rango intercuartílico]</t>
  </si>
  <si>
    <t>66 [IQR, 58-74]</t>
  </si>
  <si>
    <t>40-69</t>
  </si>
  <si>
    <t>3195 (62,0%)</t>
  </si>
  <si>
    <t>2197 (65,0%)</t>
  </si>
  <si>
    <t>2164 (61,2%)</t>
  </si>
  <si>
    <r>
      <t></t>
    </r>
    <r>
      <rPr>
        <sz val="11"/>
        <color indexed="8"/>
        <rFont val="Calibri"/>
        <family val="1"/>
        <charset val="204"/>
      </rPr>
      <t>70</t>
    </r>
  </si>
  <si>
    <t>1955 (38,0%)</t>
  </si>
  <si>
    <t>1253 (35,0%)</t>
  </si>
  <si>
    <t>1461 (38,8%)</t>
  </si>
  <si>
    <r>
      <t xml:space="preserve">Usuarios prevalentes de valsartán </t>
    </r>
    <r>
      <rPr>
        <b/>
        <sz val="11"/>
        <color indexed="12"/>
        <rFont val="Calibri"/>
        <family val="2"/>
      </rPr>
      <t>(†)</t>
    </r>
    <r>
      <rPr>
        <b/>
        <sz val="11"/>
        <color indexed="8"/>
        <rFont val="Calibri"/>
        <family val="2"/>
      </rPr>
      <t>:</t>
    </r>
  </si>
  <si>
    <t>No</t>
  </si>
  <si>
    <t>2870 (55,7%)</t>
  </si>
  <si>
    <t>2012 (51,2%)</t>
  </si>
  <si>
    <t>1353 (25,7%)</t>
  </si>
  <si>
    <t>Sí</t>
  </si>
  <si>
    <t>2280 (44,3%)</t>
  </si>
  <si>
    <t>1438 (48,8%)</t>
  </si>
  <si>
    <t>2272 (74,3%)</t>
  </si>
  <si>
    <t>Puntuación ïnd Comorbilidad Charlson</t>
  </si>
  <si>
    <t>0 (bajo)</t>
  </si>
  <si>
    <t>3864 (75,0%)</t>
  </si>
  <si>
    <t>2697 (79,0%)</t>
  </si>
  <si>
    <t>2635 (74,9%)</t>
  </si>
  <si>
    <t>884 (17,2%)</t>
  </si>
  <si>
    <t>541 (15,3%)</t>
  </si>
  <si>
    <t>670 (17,1%)</t>
  </si>
  <si>
    <t>217 (4,2%)</t>
  </si>
  <si>
    <t>117 (3,2%)</t>
  </si>
  <si>
    <t>168 (4,5%)</t>
  </si>
  <si>
    <r>
      <t></t>
    </r>
    <r>
      <rPr>
        <sz val="11"/>
        <color indexed="8"/>
        <rFont val="Calibri"/>
        <family val="1"/>
        <charset val="204"/>
      </rPr>
      <t>3 (alto)</t>
    </r>
  </si>
  <si>
    <t>185 (3,6%)</t>
  </si>
  <si>
    <t>95 (2,5%)</t>
  </si>
  <si>
    <t>152 (3,4%)</t>
  </si>
  <si>
    <t>Medicamentos que están tomando:</t>
  </si>
  <si>
    <t>Aspirina baja dosis</t>
  </si>
  <si>
    <t>1388 (27,0%)</t>
  </si>
  <si>
    <t>842 (25,2%)</t>
  </si>
  <si>
    <t>1092 (29,2%)</t>
  </si>
  <si>
    <t>AINEs</t>
  </si>
  <si>
    <t>772 (15,0%)</t>
  </si>
  <si>
    <t>533 (15,5%)</t>
  </si>
  <si>
    <t>513 (16,0%)</t>
  </si>
  <si>
    <t>Estatinas</t>
  </si>
  <si>
    <t>1924 (37,4%)</t>
  </si>
  <si>
    <t>1185 (35,1%)</t>
  </si>
  <si>
    <t>1457 (37,4%)</t>
  </si>
  <si>
    <t>Espirolnolactona</t>
  </si>
  <si>
    <t>405 (7,9%)</t>
  </si>
  <si>
    <t>362 (4,9%)</t>
  </si>
  <si>
    <t>Glucocorticoides uso sistémico</t>
  </si>
  <si>
    <t>244 (4,7%)</t>
  </si>
  <si>
    <t>166 (4,5%)</t>
  </si>
  <si>
    <t>171 (4,3%)</t>
  </si>
  <si>
    <r>
      <t>Inhibidores de 5-</t>
    </r>
    <r>
      <rPr>
        <sz val="11"/>
        <color indexed="8"/>
        <rFont val="Symbol"/>
        <family val="1"/>
        <charset val="204"/>
      </rPr>
      <t>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1"/>
        <charset val="204"/>
      </rPr>
      <t>reductasa</t>
    </r>
  </si>
  <si>
    <t>64 (1,2%)</t>
  </si>
  <si>
    <t>41 (1,2%)</t>
  </si>
  <si>
    <t>47 (0,9%)</t>
  </si>
  <si>
    <t>Antidepresivos ISRS</t>
  </si>
  <si>
    <t>299 (5,8%)</t>
  </si>
  <si>
    <t>196 (5,7%)</t>
  </si>
  <si>
    <t>223 (6,0%)</t>
  </si>
  <si>
    <t>Terapia Hornonal Sustitutiva</t>
  </si>
  <si>
    <t>454 (8,8%)</t>
  </si>
  <si>
    <t>319 (9,8%)</t>
  </si>
  <si>
    <t>338 (9,9%)</t>
  </si>
  <si>
    <t>Diagnosticos:</t>
  </si>
  <si>
    <t>Diabetes tipo 1 o tipo 2</t>
  </si>
  <si>
    <t>899 (17,5%)</t>
  </si>
  <si>
    <t>559 (16,1%)</t>
  </si>
  <si>
    <t>667 (18,0%)</t>
  </si>
  <si>
    <t>Enfermedad pulmonar obstructiva crónica</t>
  </si>
  <si>
    <t>247 (4,8%)</t>
  </si>
  <si>
    <t>131 (3,5%)</t>
  </si>
  <si>
    <t>200 (4,3%)</t>
  </si>
  <si>
    <t>Insuficiencia cardíaca</t>
  </si>
  <si>
    <t>535 (10,4%)</t>
  </si>
  <si>
    <t>117 (2,9%)</t>
  </si>
  <si>
    <t>497 (5,3%)</t>
  </si>
  <si>
    <t>Enfermedad relacionada con el alcohol</t>
  </si>
  <si>
    <t>48 (0,9%)</t>
  </si>
  <si>
    <t>28 (0,7%)</t>
  </si>
  <si>
    <t>34 (0,7%)</t>
  </si>
  <si>
    <r>
      <rPr>
        <b/>
        <sz val="10"/>
        <color indexed="12"/>
        <rFont val="Calibri"/>
        <family val="2"/>
      </rPr>
      <t>(*)</t>
    </r>
    <r>
      <rPr>
        <sz val="10"/>
        <rFont val="Calibri"/>
        <family val="2"/>
      </rPr>
      <t xml:space="preserve"> Características ponderadas por la proporción del tiempo total expuesto o no expuesto con la que contribuyeron las personas, porporcionando por tanto la distribución de las covariables en la comparación de análisis principal.</t>
    </r>
  </si>
  <si>
    <r>
      <rPr>
        <b/>
        <sz val="10"/>
        <color indexed="12"/>
        <rFont val="Calibri"/>
        <family val="2"/>
      </rPr>
      <t>(†)</t>
    </r>
    <r>
      <rPr>
        <sz val="10"/>
        <rFont val="Calibri"/>
        <family val="2"/>
      </rPr>
      <t xml:space="preserve"> Se refiere a que está incluido en el estudio el 1 de enero de 2012 por haber tenido una aprescripción de valsartán entre septiembre y diciembre de 2011.</t>
    </r>
  </si>
  <si>
    <t>valor de p para la diferencia</t>
  </si>
  <si>
    <t>&lt; 0,001</t>
  </si>
  <si>
    <r>
      <t xml:space="preserve">Las dos columnas que se comparan la constituyen los </t>
    </r>
    <r>
      <rPr>
        <b/>
        <sz val="10"/>
        <rFont val="Calibri"/>
        <family val="2"/>
        <scheme val="minor"/>
      </rPr>
      <t>"Expuestos más de 1 año (n= 3450)"</t>
    </r>
    <r>
      <rPr>
        <sz val="10"/>
        <rFont val="Calibri"/>
        <family val="2"/>
        <scheme val="minor"/>
      </rPr>
      <t xml:space="preserve"> frente a los </t>
    </r>
    <r>
      <rPr>
        <b/>
        <sz val="10"/>
        <rFont val="Calibri"/>
        <family val="2"/>
        <scheme val="minor"/>
      </rPr>
      <t>"No expuestos (n= 3625)"</t>
    </r>
    <r>
      <rPr>
        <sz val="10"/>
        <rFont val="Calibri"/>
        <family val="2"/>
        <scheme val="minor"/>
      </rPr>
      <t>.</t>
    </r>
  </si>
  <si>
    <r>
      <t xml:space="preserve">La cohorte del estudio incluyó a todos los registros de pacientes daneses a los que se prescribió valsartán durante el período de estudio del 1-ene-2012 al 30-jun-2018. Estos son los que constituyen la columna </t>
    </r>
    <r>
      <rPr>
        <b/>
        <sz val="10"/>
        <rFont val="Calibri"/>
        <family val="2"/>
        <scheme val="minor"/>
      </rPr>
      <t>"Todos (n= 5150)".</t>
    </r>
  </si>
  <si>
    <t>Usuarios de Valsatán Expuestos y No expuestos a N-nitrosodimetilamina</t>
  </si>
  <si>
    <r>
      <t xml:space="preserve">Con Valsartán Expuestos a NMDA durante más de 1 año </t>
    </r>
    <r>
      <rPr>
        <b/>
        <sz val="11"/>
        <color indexed="12"/>
        <rFont val="Calibri"/>
        <family val="2"/>
      </rPr>
      <t>(*)</t>
    </r>
    <r>
      <rPr>
        <b/>
        <sz val="11"/>
        <rFont val="Calibri"/>
        <family val="2"/>
      </rPr>
      <t xml:space="preserve"> (n= 3450)</t>
    </r>
  </si>
  <si>
    <r>
      <t xml:space="preserve">Con Valsartán No expuestos a NMDA durante más de 1 año </t>
    </r>
    <r>
      <rPr>
        <b/>
        <sz val="11"/>
        <color indexed="12"/>
        <rFont val="Calibri"/>
        <family val="2"/>
      </rPr>
      <t>(*)</t>
    </r>
    <r>
      <rPr>
        <b/>
        <sz val="11"/>
        <rFont val="Calibri"/>
        <family val="2"/>
      </rPr>
      <t xml:space="preserve"> (n= 3625)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</si>
</sst>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%"/>
    <numFmt numFmtId="168" formatCode="_-* #,##0.00000\ _€_-;\-* #,##0.00000\ _€_-;_-* &quot;-&quot;??\ _€_-;_-@_-"/>
    <numFmt numFmtId="169" formatCode="_-* #,##0.000000\ _€_-;\-* #,##0.000000\ _€_-;_-* &quot;-&quot;??\ _€_-;_-@_-"/>
    <numFmt numFmtId="170" formatCode="_-* #,##0.000\ _€_-;\-* #,##0.000\ _€_-;_-* &quot;-&quot;???\ _€_-;_-@_-"/>
    <numFmt numFmtId="171" formatCode="_-* #,##0.0\ _€_-;\-* #,##0.0\ _€_-;_-* &quot;-&quot;??\ _€_-;_-@_-"/>
    <numFmt numFmtId="172" formatCode="_-* #,##0.0\ _€_-;\-* #,##0.0\ _€_-;_-* &quot;-&quot;?\ _€_-;_-@_-"/>
    <numFmt numFmtId="173" formatCode="_-* #,##0.0000\ _€_-;\-* #,##0.0000\ _€_-;_-* &quot;-&quot;?\ _€_-;_-@_-"/>
    <numFmt numFmtId="174" formatCode="0.000"/>
    <numFmt numFmtId="175" formatCode="0.0000"/>
    <numFmt numFmtId="176" formatCode="#,##0.00_ ;\-#,##0.00\ "/>
    <numFmt numFmtId="177" formatCode="#,##0_ ;\-#,##0\ "/>
    <numFmt numFmtId="178" formatCode="#,##0.000_ ;\-#,##0.000\ 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9"/>
      <name val="Calibri"/>
      <family val="2"/>
    </font>
    <font>
      <b/>
      <i/>
      <sz val="10"/>
      <name val="Calibri"/>
      <family val="2"/>
    </font>
    <font>
      <vertAlign val="subscript"/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0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5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4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61"/>
      <name val="Calibri"/>
      <family val="2"/>
      <scheme val="minor"/>
    </font>
    <font>
      <b/>
      <sz val="2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color indexed="50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color rgb="FF0000FF"/>
      <name val="Calibri"/>
      <family val="2"/>
      <scheme val="minor"/>
    </font>
    <font>
      <vertAlign val="subscript"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sz val="10"/>
      <color rgb="FF0000FF"/>
      <name val="Calibri"/>
      <family val="2"/>
      <scheme val="minor"/>
    </font>
    <font>
      <b/>
      <sz val="12"/>
      <color indexed="60"/>
      <name val="Calibri"/>
      <family val="2"/>
    </font>
    <font>
      <b/>
      <sz val="10"/>
      <color indexed="12"/>
      <name val="Calibri"/>
      <family val="2"/>
    </font>
    <font>
      <b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8"/>
      <name val="Symbol"/>
      <family val="1"/>
      <charset val="204"/>
    </font>
    <font>
      <sz val="11"/>
      <color indexed="8"/>
      <name val="Calibri"/>
      <family val="1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2">
    <xf numFmtId="0" fontId="0" fillId="0" borderId="0" xfId="0"/>
    <xf numFmtId="2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2" fontId="10" fillId="0" borderId="0" xfId="0" applyNumberFormat="1" applyFont="1"/>
    <xf numFmtId="10" fontId="10" fillId="0" borderId="0" xfId="2" applyNumberFormat="1" applyFont="1" applyBorder="1" applyAlignment="1">
      <alignment horizontal="center"/>
    </xf>
    <xf numFmtId="10" fontId="11" fillId="0" borderId="0" xfId="2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distributed"/>
    </xf>
    <xf numFmtId="0" fontId="10" fillId="0" borderId="0" xfId="0" applyFont="1" applyFill="1" applyAlignment="1">
      <alignment horizontal="center"/>
    </xf>
    <xf numFmtId="1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18" fontId="10" fillId="0" borderId="0" xfId="1" applyNumberFormat="1" applyFont="1" applyBorder="1" applyAlignment="1">
      <alignment horizontal="center"/>
    </xf>
    <xf numFmtId="43" fontId="10" fillId="0" borderId="0" xfId="1" applyFont="1" applyFill="1" applyAlignment="1">
      <alignment horizontal="center"/>
    </xf>
    <xf numFmtId="43" fontId="10" fillId="0" borderId="0" xfId="0" applyNumberFormat="1" applyFont="1"/>
    <xf numFmtId="43" fontId="13" fillId="0" borderId="0" xfId="1" applyFont="1" applyFill="1" applyBorder="1" applyAlignment="1">
      <alignment horizontal="center"/>
    </xf>
    <xf numFmtId="43" fontId="10" fillId="0" borderId="0" xfId="1" applyFont="1" applyFill="1"/>
    <xf numFmtId="0" fontId="14" fillId="0" borderId="0" xfId="0" applyFont="1" applyFill="1"/>
    <xf numFmtId="0" fontId="10" fillId="0" borderId="0" xfId="0" applyFont="1" applyBorder="1"/>
    <xf numFmtId="43" fontId="10" fillId="0" borderId="0" xfId="1" applyFont="1" applyFill="1" applyBorder="1"/>
    <xf numFmtId="0" fontId="10" fillId="0" borderId="0" xfId="0" applyFont="1" applyBorder="1" applyAlignment="1">
      <alignment horizontal="right"/>
    </xf>
    <xf numFmtId="10" fontId="10" fillId="0" borderId="0" xfId="2" applyNumberFormat="1" applyFont="1" applyFill="1"/>
    <xf numFmtId="10" fontId="10" fillId="0" borderId="0" xfId="0" applyNumberFormat="1" applyFont="1" applyFill="1"/>
    <xf numFmtId="0" fontId="17" fillId="0" borderId="0" xfId="0" applyFont="1" applyAlignment="1">
      <alignment horizontal="right"/>
    </xf>
    <xf numFmtId="1" fontId="10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43" fontId="10" fillId="0" borderId="0" xfId="0" applyNumberFormat="1" applyFont="1" applyFill="1" applyBorder="1"/>
    <xf numFmtId="10" fontId="10" fillId="0" borderId="0" xfId="2" applyNumberFormat="1" applyFont="1" applyFill="1" applyBorder="1" applyAlignment="1">
      <alignment horizontal="center"/>
    </xf>
    <xf numFmtId="43" fontId="16" fillId="0" borderId="0" xfId="1" applyFont="1" applyFill="1" applyBorder="1"/>
    <xf numFmtId="43" fontId="16" fillId="0" borderId="0" xfId="1" applyFont="1" applyFill="1" applyAlignment="1">
      <alignment horizontal="right"/>
    </xf>
    <xf numFmtId="0" fontId="16" fillId="0" borderId="0" xfId="0" applyFont="1" applyFill="1" applyBorder="1"/>
    <xf numFmtId="43" fontId="10" fillId="0" borderId="0" xfId="0" applyNumberFormat="1" applyFont="1" applyFill="1"/>
    <xf numFmtId="171" fontId="10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43" fontId="10" fillId="0" borderId="0" xfId="1" applyFont="1" applyFill="1" applyBorder="1" applyAlignment="1">
      <alignment horizontal="center"/>
    </xf>
    <xf numFmtId="169" fontId="10" fillId="0" borderId="0" xfId="1" applyNumberFormat="1" applyFont="1" applyFill="1" applyBorder="1" applyAlignment="1">
      <alignment horizontal="center"/>
    </xf>
    <xf numFmtId="43" fontId="15" fillId="0" borderId="0" xfId="1" applyFont="1" applyFill="1" applyBorder="1" applyAlignment="1"/>
    <xf numFmtId="0" fontId="10" fillId="0" borderId="0" xfId="0" applyFont="1" applyFill="1" applyBorder="1" applyAlignment="1">
      <alignment horizontal="left"/>
    </xf>
    <xf numFmtId="169" fontId="10" fillId="0" borderId="0" xfId="0" applyNumberFormat="1" applyFont="1" applyBorder="1"/>
    <xf numFmtId="0" fontId="21" fillId="0" borderId="0" xfId="0" applyFont="1" applyBorder="1"/>
    <xf numFmtId="10" fontId="10" fillId="0" borderId="0" xfId="0" applyNumberFormat="1" applyFont="1" applyFill="1" applyBorder="1"/>
    <xf numFmtId="165" fontId="10" fillId="0" borderId="0" xfId="0" applyNumberFormat="1" applyFont="1" applyFill="1" applyBorder="1"/>
    <xf numFmtId="49" fontId="10" fillId="0" borderId="0" xfId="0" applyNumberFormat="1" applyFont="1" applyFill="1" applyBorder="1"/>
    <xf numFmtId="164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1" applyNumberFormat="1" applyFont="1" applyFill="1" applyBorder="1"/>
    <xf numFmtId="164" fontId="12" fillId="0" borderId="0" xfId="1" applyNumberFormat="1" applyFont="1" applyFill="1" applyBorder="1"/>
    <xf numFmtId="43" fontId="25" fillId="0" borderId="2" xfId="1" applyFont="1" applyBorder="1"/>
    <xf numFmtId="0" fontId="12" fillId="0" borderId="0" xfId="0" applyFont="1" applyBorder="1" applyAlignment="1">
      <alignment horizontal="right"/>
    </xf>
    <xf numFmtId="43" fontId="10" fillId="0" borderId="0" xfId="1" applyFont="1" applyBorder="1"/>
    <xf numFmtId="0" fontId="15" fillId="0" borderId="0" xfId="0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6" fillId="0" borderId="0" xfId="0" applyFont="1"/>
    <xf numFmtId="9" fontId="10" fillId="0" borderId="0" xfId="0" applyNumberFormat="1" applyFont="1" applyBorder="1"/>
    <xf numFmtId="0" fontId="10" fillId="0" borderId="23" xfId="0" applyFont="1" applyBorder="1"/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/>
    <xf numFmtId="2" fontId="10" fillId="0" borderId="2" xfId="1" applyNumberFormat="1" applyFont="1" applyFill="1" applyBorder="1" applyAlignment="1">
      <alignment horizontal="center" vertical="center" wrapText="1"/>
    </xf>
    <xf numFmtId="2" fontId="10" fillId="0" borderId="4" xfId="1" applyNumberFormat="1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10" xfId="0" applyFont="1" applyFill="1" applyBorder="1"/>
    <xf numFmtId="0" fontId="10" fillId="0" borderId="24" xfId="0" applyFont="1" applyFill="1" applyBorder="1"/>
    <xf numFmtId="0" fontId="15" fillId="0" borderId="0" xfId="0" applyFont="1" applyBorder="1" applyAlignment="1">
      <alignment horizontal="left" vertical="center"/>
    </xf>
    <xf numFmtId="164" fontId="15" fillId="0" borderId="0" xfId="1" applyNumberFormat="1" applyFont="1" applyFill="1" applyBorder="1" applyAlignment="1"/>
    <xf numFmtId="164" fontId="33" fillId="0" borderId="0" xfId="1" applyNumberFormat="1" applyFont="1" applyFill="1" applyBorder="1" applyAlignment="1"/>
    <xf numFmtId="164" fontId="30" fillId="0" borderId="0" xfId="0" applyNumberFormat="1" applyFont="1" applyFill="1" applyBorder="1" applyAlignment="1">
      <alignment horizontal="left"/>
    </xf>
    <xf numFmtId="2" fontId="10" fillId="0" borderId="0" xfId="0" applyNumberFormat="1" applyFont="1" applyBorder="1"/>
    <xf numFmtId="0" fontId="18" fillId="0" borderId="0" xfId="0" applyFont="1" applyFill="1" applyBorder="1" applyAlignment="1">
      <alignment horizontal="right"/>
    </xf>
    <xf numFmtId="0" fontId="22" fillId="0" borderId="0" xfId="0" applyFont="1" applyBorder="1" applyAlignment="1">
      <alignment vertical="distributed"/>
    </xf>
    <xf numFmtId="0" fontId="10" fillId="0" borderId="2" xfId="0" applyFont="1" applyBorder="1" applyAlignment="1">
      <alignment horizontal="center" vertical="center"/>
    </xf>
    <xf numFmtId="9" fontId="10" fillId="5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3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0" fontId="10" fillId="0" borderId="0" xfId="2" applyNumberFormat="1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43" fontId="1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168" fontId="10" fillId="0" borderId="0" xfId="1" applyNumberFormat="1" applyFont="1" applyFill="1" applyBorder="1" applyAlignment="1">
      <alignment horizontal="center" vertical="center" wrapText="1"/>
    </xf>
    <xf numFmtId="17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wrapText="1"/>
    </xf>
    <xf numFmtId="43" fontId="19" fillId="0" borderId="10" xfId="1" applyFont="1" applyFill="1" applyBorder="1" applyAlignment="1">
      <alignment horizontal="right"/>
    </xf>
    <xf numFmtId="0" fontId="10" fillId="0" borderId="10" xfId="0" applyFont="1" applyFill="1" applyBorder="1" applyAlignment="1">
      <alignment horizontal="left"/>
    </xf>
    <xf numFmtId="169" fontId="10" fillId="0" borderId="10" xfId="1" applyNumberFormat="1" applyFont="1" applyFill="1" applyBorder="1" applyAlignment="1">
      <alignment horizontal="center"/>
    </xf>
    <xf numFmtId="43" fontId="10" fillId="0" borderId="10" xfId="1" applyFont="1" applyFill="1" applyBorder="1" applyAlignment="1">
      <alignment horizontal="center"/>
    </xf>
    <xf numFmtId="43" fontId="15" fillId="0" borderId="10" xfId="1" applyFont="1" applyFill="1" applyBorder="1" applyAlignment="1"/>
    <xf numFmtId="43" fontId="15" fillId="0" borderId="23" xfId="1" applyFont="1" applyFill="1" applyBorder="1" applyAlignment="1"/>
    <xf numFmtId="0" fontId="10" fillId="0" borderId="12" xfId="0" applyFont="1" applyFill="1" applyBorder="1"/>
    <xf numFmtId="1" fontId="10" fillId="0" borderId="9" xfId="0" applyNumberFormat="1" applyFont="1" applyFill="1" applyBorder="1" applyAlignment="1">
      <alignment horizontal="center" vertical="center" wrapText="1"/>
    </xf>
    <xf numFmtId="43" fontId="15" fillId="0" borderId="24" xfId="1" applyFont="1" applyFill="1" applyBorder="1" applyAlignment="1"/>
    <xf numFmtId="10" fontId="10" fillId="0" borderId="9" xfId="2" applyNumberFormat="1" applyFont="1" applyFill="1" applyBorder="1"/>
    <xf numFmtId="0" fontId="10" fillId="0" borderId="24" xfId="0" applyFont="1" applyBorder="1"/>
    <xf numFmtId="2" fontId="10" fillId="0" borderId="9" xfId="1" applyNumberFormat="1" applyFont="1" applyFill="1" applyBorder="1" applyAlignment="1">
      <alignment horizontal="center" vertical="center" wrapText="1"/>
    </xf>
    <xf numFmtId="173" fontId="10" fillId="0" borderId="9" xfId="0" applyNumberFormat="1" applyFont="1" applyBorder="1"/>
    <xf numFmtId="167" fontId="10" fillId="0" borderId="9" xfId="2" applyNumberFormat="1" applyFont="1" applyFill="1" applyBorder="1" applyAlignment="1">
      <alignment horizontal="center" vertical="center" wrapText="1"/>
    </xf>
    <xf numFmtId="165" fontId="15" fillId="0" borderId="9" xfId="1" applyNumberFormat="1" applyFont="1" applyFill="1" applyBorder="1"/>
    <xf numFmtId="174" fontId="10" fillId="0" borderId="9" xfId="0" applyNumberFormat="1" applyFont="1" applyFill="1" applyBorder="1" applyAlignment="1">
      <alignment horizontal="center" vertical="center" wrapText="1"/>
    </xf>
    <xf numFmtId="166" fontId="10" fillId="2" borderId="9" xfId="1" applyNumberFormat="1" applyFont="1" applyFill="1" applyBorder="1"/>
    <xf numFmtId="10" fontId="10" fillId="6" borderId="9" xfId="2" applyNumberFormat="1" applyFont="1" applyFill="1" applyBorder="1" applyAlignment="1">
      <alignment horizontal="center" vertical="center" wrapText="1"/>
    </xf>
    <xf numFmtId="10" fontId="20" fillId="0" borderId="9" xfId="0" applyNumberFormat="1" applyFont="1" applyBorder="1"/>
    <xf numFmtId="10" fontId="10" fillId="0" borderId="7" xfId="2" applyNumberFormat="1" applyFont="1" applyBorder="1" applyAlignment="1">
      <alignment horizontal="center" vertical="center" wrapText="1"/>
    </xf>
    <xf numFmtId="0" fontId="21" fillId="0" borderId="8" xfId="0" applyFont="1" applyBorder="1"/>
    <xf numFmtId="0" fontId="10" fillId="0" borderId="8" xfId="0" applyFont="1" applyBorder="1"/>
    <xf numFmtId="170" fontId="10" fillId="0" borderId="8" xfId="0" applyNumberFormat="1" applyFont="1" applyBorder="1"/>
    <xf numFmtId="0" fontId="10" fillId="0" borderId="28" xfId="0" applyFont="1" applyBorder="1"/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28" xfId="0" applyFont="1" applyFill="1" applyBorder="1"/>
    <xf numFmtId="1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10" xfId="0" applyFont="1" applyFill="1" applyBorder="1" applyAlignment="1">
      <alignment horizontal="right"/>
    </xf>
    <xf numFmtId="175" fontId="10" fillId="0" borderId="10" xfId="1" applyNumberFormat="1" applyFont="1" applyBorder="1" applyAlignment="1">
      <alignment horizontal="center" vertical="center"/>
    </xf>
    <xf numFmtId="2" fontId="10" fillId="0" borderId="10" xfId="0" applyNumberFormat="1" applyFont="1" applyBorder="1"/>
    <xf numFmtId="10" fontId="18" fillId="0" borderId="0" xfId="2" applyNumberFormat="1" applyFont="1" applyFill="1" applyBorder="1" applyAlignment="1">
      <alignment horizontal="right"/>
    </xf>
    <xf numFmtId="43" fontId="15" fillId="0" borderId="9" xfId="1" applyFont="1" applyFill="1" applyBorder="1" applyAlignment="1">
      <alignment horizontal="center" vertical="center" wrapText="1"/>
    </xf>
    <xf numFmtId="0" fontId="13" fillId="0" borderId="0" xfId="0" applyFont="1" applyFill="1" applyBorder="1"/>
    <xf numFmtId="43" fontId="10" fillId="0" borderId="0" xfId="1" applyFont="1" applyFill="1" applyBorder="1" applyAlignment="1"/>
    <xf numFmtId="0" fontId="10" fillId="0" borderId="9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43" fontId="10" fillId="0" borderId="0" xfId="0" applyNumberFormat="1" applyFont="1" applyFill="1" applyBorder="1" applyAlignment="1">
      <alignment horizontal="left" vertical="center"/>
    </xf>
    <xf numFmtId="43" fontId="10" fillId="0" borderId="8" xfId="1" applyFont="1" applyFill="1" applyBorder="1" applyAlignment="1">
      <alignment horizontal="center"/>
    </xf>
    <xf numFmtId="43" fontId="15" fillId="0" borderId="8" xfId="1" applyFont="1" applyFill="1" applyBorder="1" applyAlignment="1"/>
    <xf numFmtId="0" fontId="28" fillId="0" borderId="0" xfId="0" applyFont="1" applyFill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164" fontId="10" fillId="0" borderId="0" xfId="1" applyNumberFormat="1" applyFont="1" applyAlignment="1">
      <alignment horizontal="center" vertical="center" wrapText="1"/>
    </xf>
    <xf numFmtId="43" fontId="15" fillId="0" borderId="0" xfId="1" applyFont="1" applyAlignment="1">
      <alignment horizontal="center" vertical="center" wrapText="1"/>
    </xf>
    <xf numFmtId="43" fontId="10" fillId="6" borderId="0" xfId="0" applyNumberFormat="1" applyFont="1" applyFill="1" applyAlignment="1">
      <alignment horizontal="center" vertical="center" wrapText="1"/>
    </xf>
    <xf numFmtId="43" fontId="15" fillId="0" borderId="2" xfId="0" applyNumberFormat="1" applyFont="1" applyBorder="1"/>
    <xf numFmtId="43" fontId="10" fillId="0" borderId="0" xfId="0" applyNumberFormat="1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165" fontId="15" fillId="6" borderId="2" xfId="1" applyNumberFormat="1" applyFont="1" applyFill="1" applyBorder="1"/>
    <xf numFmtId="169" fontId="10" fillId="0" borderId="0" xfId="0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/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0" fontId="10" fillId="0" borderId="2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0" fontId="10" fillId="0" borderId="9" xfId="0" applyFont="1" applyFill="1" applyBorder="1"/>
    <xf numFmtId="49" fontId="10" fillId="0" borderId="7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/>
    <xf numFmtId="0" fontId="10" fillId="0" borderId="8" xfId="0" applyFont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/>
    </xf>
    <xf numFmtId="174" fontId="10" fillId="0" borderId="2" xfId="0" applyNumberFormat="1" applyFont="1" applyBorder="1" applyAlignment="1">
      <alignment horizontal="center" vertical="center"/>
    </xf>
    <xf numFmtId="10" fontId="10" fillId="0" borderId="2" xfId="2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67" fontId="10" fillId="0" borderId="0" xfId="2" applyNumberFormat="1" applyFont="1" applyBorder="1" applyAlignment="1">
      <alignment horizontal="center" vertical="center" wrapText="1"/>
    </xf>
    <xf numFmtId="9" fontId="10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0" fontId="10" fillId="0" borderId="0" xfId="0" applyNumberFormat="1" applyFont="1" applyBorder="1" applyAlignment="1">
      <alignment horizontal="center" vertical="center" wrapText="1"/>
    </xf>
    <xf numFmtId="10" fontId="10" fillId="0" borderId="0" xfId="2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 vertical="distributed"/>
    </xf>
    <xf numFmtId="164" fontId="10" fillId="0" borderId="0" xfId="0" applyNumberFormat="1" applyFont="1" applyFill="1" applyBorder="1" applyAlignment="1">
      <alignment horizontal="center" vertical="center" wrapText="1"/>
    </xf>
    <xf numFmtId="43" fontId="13" fillId="0" borderId="0" xfId="1" applyFont="1" applyFill="1" applyBorder="1"/>
    <xf numFmtId="43" fontId="10" fillId="0" borderId="0" xfId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/>
    </xf>
    <xf numFmtId="171" fontId="10" fillId="0" borderId="12" xfId="1" applyNumberFormat="1" applyFont="1" applyBorder="1" applyAlignment="1">
      <alignment horizontal="center"/>
    </xf>
    <xf numFmtId="0" fontId="10" fillId="0" borderId="7" xfId="0" applyFont="1" applyBorder="1"/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0" fillId="0" borderId="23" xfId="0" applyFont="1" applyBorder="1" applyAlignment="1">
      <alignment horizontal="center"/>
    </xf>
    <xf numFmtId="3" fontId="10" fillId="4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4" borderId="2" xfId="1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43" fontId="10" fillId="0" borderId="3" xfId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67" fontId="10" fillId="0" borderId="2" xfId="2" applyNumberFormat="1" applyFont="1" applyFill="1" applyBorder="1" applyAlignment="1">
      <alignment horizontal="center" vertical="center" wrapText="1"/>
    </xf>
    <xf numFmtId="10" fontId="10" fillId="0" borderId="0" xfId="2" applyNumberFormat="1" applyFont="1" applyFill="1" applyBorder="1" applyAlignment="1"/>
    <xf numFmtId="0" fontId="10" fillId="0" borderId="3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23" fillId="0" borderId="0" xfId="0" applyFont="1" applyFill="1"/>
    <xf numFmtId="10" fontId="10" fillId="0" borderId="2" xfId="2" applyNumberFormat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0" fillId="0" borderId="2" xfId="0" applyNumberFormat="1" applyFont="1" applyFill="1" applyBorder="1" applyAlignment="1">
      <alignment horizontal="center"/>
    </xf>
    <xf numFmtId="10" fontId="10" fillId="0" borderId="2" xfId="2" applyNumberFormat="1" applyFont="1" applyFill="1" applyBorder="1" applyAlignment="1"/>
    <xf numFmtId="0" fontId="10" fillId="0" borderId="0" xfId="0" applyFont="1" applyFill="1" applyAlignment="1">
      <alignment horizontal="left"/>
    </xf>
    <xf numFmtId="167" fontId="10" fillId="0" borderId="0" xfId="2" applyNumberFormat="1" applyFont="1" applyFill="1" applyAlignment="1">
      <alignment horizontal="center" vertical="center" wrapText="1"/>
    </xf>
    <xf numFmtId="49" fontId="24" fillId="0" borderId="0" xfId="0" applyNumberFormat="1" applyFont="1" applyFill="1"/>
    <xf numFmtId="0" fontId="10" fillId="0" borderId="2" xfId="0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/>
    </xf>
    <xf numFmtId="177" fontId="10" fillId="0" borderId="2" xfId="1" applyNumberFormat="1" applyFont="1" applyFill="1" applyBorder="1" applyAlignment="1">
      <alignment horizontal="center" vertical="center"/>
    </xf>
    <xf numFmtId="167" fontId="10" fillId="0" borderId="2" xfId="2" applyNumberFormat="1" applyFont="1" applyFill="1" applyBorder="1" applyAlignment="1">
      <alignment horizontal="center" vertical="center"/>
    </xf>
    <xf numFmtId="171" fontId="10" fillId="0" borderId="2" xfId="1" applyNumberFormat="1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/>
    </xf>
    <xf numFmtId="3" fontId="12" fillId="0" borderId="2" xfId="1" applyNumberFormat="1" applyFont="1" applyFill="1" applyBorder="1" applyAlignment="1">
      <alignment horizontal="center"/>
    </xf>
    <xf numFmtId="178" fontId="10" fillId="0" borderId="2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39" fillId="0" borderId="0" xfId="0" applyFont="1"/>
    <xf numFmtId="0" fontId="35" fillId="0" borderId="0" xfId="0" applyFont="1"/>
    <xf numFmtId="0" fontId="44" fillId="0" borderId="19" xfId="0" applyFont="1" applyFill="1" applyBorder="1" applyAlignment="1">
      <alignment horizontal="left" vertical="top" wrapText="1" indent="1"/>
    </xf>
    <xf numFmtId="0" fontId="44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1" fontId="44" fillId="0" borderId="19" xfId="0" applyNumberFormat="1" applyFont="1" applyFill="1" applyBorder="1" applyAlignment="1">
      <alignment horizontal="left" vertical="top" wrapText="1" indent="1"/>
    </xf>
    <xf numFmtId="0" fontId="47" fillId="0" borderId="19" xfId="0" applyFont="1" applyFill="1" applyBorder="1" applyAlignment="1">
      <alignment horizontal="left" vertical="top" wrapText="1" indent="1"/>
    </xf>
    <xf numFmtId="0" fontId="44" fillId="0" borderId="18" xfId="0" applyFont="1" applyFill="1" applyBorder="1" applyAlignment="1">
      <alignment horizontal="left" vertical="top" wrapText="1" inden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top" wrapText="1" indent="1"/>
    </xf>
    <xf numFmtId="0" fontId="44" fillId="0" borderId="0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top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44" fillId="0" borderId="25" xfId="0" applyFont="1" applyFill="1" applyBorder="1" applyAlignment="1">
      <alignment horizontal="left" vertical="top" wrapText="1" indent="1"/>
    </xf>
    <xf numFmtId="0" fontId="44" fillId="0" borderId="15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top" wrapText="1" indent="1"/>
    </xf>
    <xf numFmtId="0" fontId="45" fillId="0" borderId="17" xfId="0" applyFont="1" applyFill="1" applyBorder="1" applyAlignment="1">
      <alignment horizontal="center" vertical="center" wrapText="1"/>
    </xf>
    <xf numFmtId="174" fontId="23" fillId="0" borderId="26" xfId="0" applyNumberFormat="1" applyFont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174" fontId="23" fillId="0" borderId="20" xfId="0" applyNumberFormat="1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center" vertical="center"/>
    </xf>
    <xf numFmtId="174" fontId="23" fillId="0" borderId="1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CCFFFF"/>
      <color rgb="FF008000"/>
      <color rgb="FF009900"/>
      <color rgb="FF0070C0"/>
      <color rgb="FFFFFF99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'Inc Acumul'!#REF!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F5B-AF9C-CF233A2A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365552"/>
        <c:axId val="1"/>
      </c:lineChart>
      <c:catAx>
        <c:axId val="21013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136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'Inc Acumul'!#REF!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2-4E39-B32D-34499DA4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366800"/>
        <c:axId val="1"/>
      </c:lineChart>
      <c:catAx>
        <c:axId val="21013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136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'Inc Acumul'!#REF!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5-40ED-B162-756C1D16C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359728"/>
        <c:axId val="1"/>
      </c:lineChart>
      <c:catAx>
        <c:axId val="21013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135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'Inc Acumul'!#REF!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1-4EE2-B66A-7D6ADB95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360144"/>
        <c:axId val="1"/>
      </c:lineChart>
      <c:catAx>
        <c:axId val="21013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136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40</xdr:row>
      <xdr:rowOff>38100</xdr:rowOff>
    </xdr:to>
    <xdr:graphicFrame macro="">
      <xdr:nvGraphicFramePr>
        <xdr:cNvPr id="1590" name="Gráfico 1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</xdr:col>
      <xdr:colOff>0</xdr:colOff>
      <xdr:row>47</xdr:row>
      <xdr:rowOff>0</xdr:rowOff>
    </xdr:to>
    <xdr:graphicFrame macro="">
      <xdr:nvGraphicFramePr>
        <xdr:cNvPr id="1591" name="Gráfico 1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</xdr:col>
      <xdr:colOff>0</xdr:colOff>
      <xdr:row>47</xdr:row>
      <xdr:rowOff>0</xdr:rowOff>
    </xdr:to>
    <xdr:graphicFrame macro="">
      <xdr:nvGraphicFramePr>
        <xdr:cNvPr id="1592" name="Gráfico 1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40</xdr:row>
      <xdr:rowOff>28575</xdr:rowOff>
    </xdr:to>
    <xdr:graphicFrame macro="">
      <xdr:nvGraphicFramePr>
        <xdr:cNvPr id="1593" name="Gráfico 1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00"/>
  <sheetViews>
    <sheetView tabSelected="1" topLeftCell="A6" zoomScale="70" zoomScaleNormal="70" workbookViewId="0">
      <selection activeCell="H66" sqref="H66"/>
    </sheetView>
  </sheetViews>
  <sheetFormatPr baseColWidth="10" defaultColWidth="11.453125" defaultRowHeight="13" x14ac:dyDescent="0.3"/>
  <cols>
    <col min="1" max="1" width="0.6328125" style="5" customWidth="1"/>
    <col min="2" max="2" width="40" style="5" customWidth="1"/>
    <col min="3" max="3" width="19" style="5" customWidth="1"/>
    <col min="4" max="4" width="21.453125" style="5" customWidth="1"/>
    <col min="5" max="5" width="23.453125" style="5" customWidth="1"/>
    <col min="6" max="6" width="20.1796875" style="5" customWidth="1"/>
    <col min="7" max="7" width="16.54296875" style="5" customWidth="1"/>
    <col min="8" max="8" width="8.7265625" style="5" customWidth="1"/>
    <col min="9" max="9" width="4.54296875" style="5" customWidth="1"/>
    <col min="10" max="10" width="13.81640625" style="5" customWidth="1"/>
    <col min="11" max="11" width="7.36328125" style="5" customWidth="1"/>
    <col min="12" max="13" width="14.26953125" style="5" customWidth="1"/>
    <col min="14" max="14" width="14.7265625" style="5" bestFit="1" customWidth="1"/>
    <col min="15" max="15" width="14.26953125" style="12" bestFit="1" customWidth="1"/>
    <col min="16" max="16" width="14.26953125" style="12" customWidth="1"/>
    <col min="17" max="17" width="14" style="5" bestFit="1" customWidth="1"/>
    <col min="18" max="18" width="11.54296875" style="5" bestFit="1" customWidth="1"/>
    <col min="19" max="19" width="8.90625" style="5" customWidth="1"/>
    <col min="20" max="20" width="11" style="5" customWidth="1"/>
    <col min="21" max="21" width="10.453125" style="5" customWidth="1"/>
    <col min="22" max="23" width="11.453125" style="12"/>
    <col min="24" max="16384" width="11.453125" style="5"/>
  </cols>
  <sheetData>
    <row r="1" spans="2:31" s="4" customFormat="1" ht="8.25" customHeight="1" thickBot="1" x14ac:dyDescent="0.35">
      <c r="B1" s="79"/>
      <c r="C1" s="80"/>
      <c r="D1" s="79"/>
      <c r="E1" s="81"/>
      <c r="F1" s="5"/>
      <c r="G1" s="5"/>
      <c r="H1" s="82"/>
      <c r="I1" s="82"/>
      <c r="J1" s="82"/>
      <c r="K1" s="82"/>
      <c r="L1" s="8"/>
      <c r="M1" s="13"/>
      <c r="N1" s="13"/>
      <c r="O1" s="2"/>
      <c r="P1" s="2"/>
      <c r="Q1" s="3"/>
      <c r="R1" s="2"/>
      <c r="S1" s="2"/>
      <c r="T1" s="2"/>
      <c r="U1" s="2"/>
      <c r="V1" s="83"/>
      <c r="W1" s="83"/>
      <c r="X1" s="83"/>
      <c r="Y1" s="83"/>
      <c r="Z1" s="83"/>
      <c r="AA1" s="83"/>
      <c r="AB1" s="83"/>
      <c r="AC1" s="83"/>
      <c r="AD1" s="83"/>
    </row>
    <row r="2" spans="2:31" ht="24.75" customHeight="1" thickBot="1" x14ac:dyDescent="0.35">
      <c r="B2" s="291" t="s">
        <v>58</v>
      </c>
      <c r="C2" s="292"/>
      <c r="D2" s="292"/>
      <c r="E2" s="292"/>
      <c r="F2" s="293"/>
      <c r="G2" s="84"/>
      <c r="H2" s="85" t="s">
        <v>63</v>
      </c>
      <c r="I2" s="86">
        <v>0.95</v>
      </c>
      <c r="J2" s="84"/>
      <c r="K2" s="7"/>
      <c r="L2" s="8"/>
      <c r="M2" s="9"/>
      <c r="N2" s="9"/>
      <c r="O2" s="10"/>
      <c r="P2" s="10"/>
      <c r="Q2" s="11"/>
      <c r="R2" s="10"/>
      <c r="S2" s="10"/>
      <c r="T2" s="10"/>
      <c r="U2" s="10"/>
      <c r="V2" s="10"/>
      <c r="W2" s="10"/>
      <c r="X2" s="10"/>
      <c r="Y2" s="12"/>
      <c r="Z2" s="12"/>
      <c r="AA2" s="12"/>
      <c r="AB2" s="12"/>
      <c r="AC2" s="12"/>
      <c r="AD2" s="12"/>
      <c r="AE2" s="12"/>
    </row>
    <row r="3" spans="2:31" ht="28.5" customHeight="1" x14ac:dyDescent="0.3">
      <c r="B3" s="294" t="s">
        <v>97</v>
      </c>
      <c r="C3" s="295"/>
      <c r="D3" s="295"/>
      <c r="E3" s="295"/>
      <c r="F3" s="296"/>
      <c r="G3" s="87"/>
      <c r="H3" s="87"/>
      <c r="I3" s="87"/>
      <c r="J3" s="87"/>
      <c r="K3" s="7"/>
      <c r="L3" s="8"/>
      <c r="M3" s="9"/>
      <c r="N3" s="9"/>
      <c r="O3" s="10"/>
      <c r="P3" s="10"/>
      <c r="Q3" s="11"/>
      <c r="R3" s="10"/>
      <c r="S3" s="10"/>
      <c r="T3" s="10"/>
      <c r="U3" s="10"/>
      <c r="V3" s="10"/>
      <c r="W3" s="10"/>
      <c r="X3" s="10"/>
      <c r="Y3" s="12"/>
      <c r="Z3" s="12"/>
      <c r="AA3" s="12"/>
      <c r="AB3" s="12"/>
      <c r="AC3" s="12"/>
      <c r="AD3" s="12"/>
      <c r="AE3" s="12"/>
    </row>
    <row r="4" spans="2:31" ht="12.75" customHeight="1" x14ac:dyDescent="0.7">
      <c r="B4" s="67"/>
      <c r="C4" s="14"/>
      <c r="D4" s="13"/>
      <c r="E4" s="13"/>
      <c r="F4" s="6"/>
      <c r="G4" s="15"/>
      <c r="J4" s="87"/>
      <c r="K4" s="68"/>
      <c r="L4" s="16"/>
      <c r="O4" s="10"/>
      <c r="P4" s="10"/>
      <c r="Q4" s="17"/>
      <c r="R4" s="10"/>
      <c r="S4" s="10"/>
      <c r="T4" s="10"/>
      <c r="U4" s="10"/>
      <c r="V4" s="10"/>
      <c r="W4" s="18"/>
      <c r="X4" s="18"/>
      <c r="Y4" s="12"/>
      <c r="Z4" s="18"/>
      <c r="AA4" s="19"/>
      <c r="AB4" s="12"/>
      <c r="AC4" s="12"/>
      <c r="AD4" s="12"/>
      <c r="AE4" s="12"/>
    </row>
    <row r="5" spans="2:31" x14ac:dyDescent="0.3">
      <c r="B5" s="88" t="s">
        <v>51</v>
      </c>
      <c r="C5" s="216"/>
      <c r="D5" s="50" t="s">
        <v>20</v>
      </c>
      <c r="E5" s="50" t="s">
        <v>21</v>
      </c>
      <c r="F5" s="222"/>
      <c r="I5" s="89"/>
      <c r="J5" s="87"/>
      <c r="K5" s="89"/>
      <c r="W5" s="18"/>
      <c r="X5" s="18"/>
      <c r="Y5" s="12"/>
      <c r="Z5" s="18"/>
      <c r="AA5" s="19"/>
      <c r="AB5" s="12"/>
      <c r="AC5" s="12"/>
      <c r="AD5" s="12"/>
      <c r="AE5" s="12"/>
    </row>
    <row r="6" spans="2:31" x14ac:dyDescent="0.3">
      <c r="B6" s="71"/>
      <c r="C6" s="217"/>
      <c r="D6" s="218" t="s">
        <v>3</v>
      </c>
      <c r="E6" s="218" t="s">
        <v>2</v>
      </c>
      <c r="F6" s="219" t="s">
        <v>22</v>
      </c>
      <c r="I6" s="89"/>
      <c r="J6" s="87"/>
      <c r="K6" s="89"/>
      <c r="W6" s="18"/>
      <c r="X6" s="18"/>
      <c r="Y6" s="12"/>
      <c r="Z6" s="18"/>
      <c r="AA6" s="12"/>
      <c r="AB6" s="12"/>
      <c r="AC6" s="12"/>
      <c r="AD6" s="12"/>
      <c r="AE6" s="12"/>
    </row>
    <row r="7" spans="2:31" ht="12.75" customHeight="1" x14ac:dyDescent="0.3">
      <c r="B7" s="71"/>
      <c r="C7" s="220" t="s">
        <v>64</v>
      </c>
      <c r="D7" s="223">
        <v>1630</v>
      </c>
      <c r="E7" s="224">
        <f>F7-D7</f>
        <v>1820</v>
      </c>
      <c r="F7" s="225">
        <v>3450</v>
      </c>
      <c r="G7" s="206"/>
      <c r="H7" s="207"/>
      <c r="I7" s="208"/>
      <c r="J7" s="87"/>
      <c r="K7" s="89"/>
      <c r="W7" s="18"/>
      <c r="X7" s="18"/>
      <c r="Y7" s="12"/>
      <c r="Z7" s="18"/>
      <c r="AA7" s="12"/>
      <c r="AB7" s="12"/>
      <c r="AC7" s="12"/>
      <c r="AD7" s="12"/>
      <c r="AE7" s="12"/>
    </row>
    <row r="8" spans="2:31" ht="12.75" customHeight="1" x14ac:dyDescent="0.3">
      <c r="B8" s="71"/>
      <c r="C8" s="220" t="s">
        <v>65</v>
      </c>
      <c r="D8" s="223">
        <v>1745</v>
      </c>
      <c r="E8" s="224">
        <f>F8-D8</f>
        <v>1720</v>
      </c>
      <c r="F8" s="225">
        <v>3465</v>
      </c>
      <c r="G8" s="206"/>
      <c r="H8" s="209"/>
      <c r="I8" s="208"/>
      <c r="J8" s="87"/>
      <c r="K8" s="89"/>
      <c r="W8" s="18"/>
      <c r="X8" s="18"/>
      <c r="Y8" s="12"/>
      <c r="Z8" s="18"/>
      <c r="AA8" s="12"/>
      <c r="AB8" s="12"/>
      <c r="AC8" s="12"/>
      <c r="AD8" s="12"/>
      <c r="AE8" s="12"/>
    </row>
    <row r="9" spans="2:31" x14ac:dyDescent="0.3">
      <c r="B9" s="71"/>
      <c r="C9" s="221" t="s">
        <v>22</v>
      </c>
      <c r="D9" s="226">
        <f>SUM(D7:D8)</f>
        <v>3375</v>
      </c>
      <c r="E9" s="227">
        <f>SUM(E7:E8)</f>
        <v>3540</v>
      </c>
      <c r="F9" s="228">
        <f>SUM(F7:F8)</f>
        <v>6915</v>
      </c>
      <c r="G9" s="206"/>
      <c r="H9" s="89"/>
      <c r="I9" s="89"/>
      <c r="J9" s="87"/>
      <c r="K9" s="89"/>
      <c r="W9" s="18"/>
      <c r="X9" s="18"/>
      <c r="Y9" s="12"/>
      <c r="Z9" s="18"/>
      <c r="AA9" s="12"/>
      <c r="AB9" s="12"/>
      <c r="AC9" s="12"/>
      <c r="AD9" s="12"/>
      <c r="AE9" s="12"/>
    </row>
    <row r="10" spans="2:31" ht="12.75" customHeight="1" x14ac:dyDescent="0.3">
      <c r="B10" s="71"/>
      <c r="C10" s="25"/>
      <c r="D10" s="26"/>
      <c r="E10" s="22"/>
      <c r="F10" s="22"/>
      <c r="G10" s="90"/>
      <c r="H10" s="90"/>
      <c r="I10" s="89"/>
      <c r="J10" s="89"/>
      <c r="K10" s="89"/>
      <c r="L10" s="90"/>
      <c r="M10" s="91"/>
      <c r="N10" s="90"/>
      <c r="P10" s="23"/>
      <c r="Q10" s="24"/>
      <c r="R10" s="24"/>
      <c r="S10" s="24"/>
      <c r="T10" s="24"/>
      <c r="U10" s="18"/>
      <c r="W10" s="18"/>
      <c r="X10" s="18"/>
      <c r="Y10" s="12"/>
      <c r="Z10" s="18"/>
      <c r="AA10" s="12"/>
      <c r="AB10" s="12"/>
      <c r="AC10" s="12"/>
      <c r="AD10" s="12"/>
      <c r="AE10" s="12"/>
    </row>
    <row r="11" spans="2:31" s="4" customFormat="1" ht="14.25" hidden="1" customHeight="1" x14ac:dyDescent="0.3">
      <c r="B11" s="92" t="s">
        <v>66</v>
      </c>
      <c r="C11" s="27"/>
      <c r="D11" s="28"/>
      <c r="E11" s="2"/>
      <c r="F11" s="21"/>
      <c r="G11" s="93"/>
      <c r="H11" s="91"/>
      <c r="I11" s="93"/>
      <c r="J11" s="91"/>
      <c r="K11" s="94"/>
      <c r="L11" s="94"/>
      <c r="M11" s="93"/>
      <c r="N11" s="94"/>
      <c r="P11" s="2"/>
      <c r="Q11" s="30"/>
      <c r="R11" s="30"/>
      <c r="S11" s="30"/>
      <c r="T11" s="30"/>
      <c r="U11" s="2"/>
      <c r="V11" s="2"/>
      <c r="W11" s="2"/>
      <c r="X11" s="2"/>
    </row>
    <row r="12" spans="2:31" s="4" customFormat="1" ht="12.75" hidden="1" customHeight="1" x14ac:dyDescent="0.3">
      <c r="B12" s="71" t="s">
        <v>59</v>
      </c>
      <c r="C12" s="27"/>
      <c r="D12" s="28"/>
      <c r="E12" s="2"/>
      <c r="F12" s="21"/>
      <c r="G12" s="93"/>
      <c r="H12" s="91"/>
      <c r="I12" s="93"/>
      <c r="J12" s="91"/>
      <c r="K12" s="95"/>
      <c r="L12" s="94"/>
      <c r="M12" s="94"/>
      <c r="N12" s="94"/>
      <c r="P12" s="2"/>
      <c r="Q12" s="3"/>
      <c r="R12" s="3"/>
      <c r="S12" s="3"/>
      <c r="T12" s="3"/>
      <c r="U12" s="2"/>
      <c r="V12" s="2"/>
      <c r="W12" s="2"/>
      <c r="X12" s="2"/>
    </row>
    <row r="13" spans="2:31" s="4" customFormat="1" ht="45" hidden="1" customHeight="1" x14ac:dyDescent="0.3">
      <c r="B13" s="157" t="s">
        <v>25</v>
      </c>
      <c r="C13" s="157" t="s">
        <v>60</v>
      </c>
      <c r="D13" s="157" t="s">
        <v>98</v>
      </c>
      <c r="E13" s="157" t="s">
        <v>61</v>
      </c>
      <c r="F13" s="157" t="s">
        <v>62</v>
      </c>
      <c r="G13" s="157" t="s">
        <v>4</v>
      </c>
      <c r="H13" s="157" t="s">
        <v>67</v>
      </c>
      <c r="I13" s="157" t="s">
        <v>68</v>
      </c>
      <c r="J13" s="91"/>
      <c r="K13" s="229" t="s">
        <v>41</v>
      </c>
      <c r="L13" s="229" t="s">
        <v>0</v>
      </c>
      <c r="M13" s="96" t="s">
        <v>1</v>
      </c>
      <c r="N13" s="94"/>
      <c r="P13" s="2"/>
      <c r="Q13" s="2"/>
      <c r="R13" s="2"/>
      <c r="S13" s="2"/>
      <c r="T13" s="2"/>
      <c r="U13" s="2"/>
      <c r="V13" s="2"/>
      <c r="W13" s="2"/>
      <c r="X13" s="2"/>
    </row>
    <row r="14" spans="2:31" s="4" customFormat="1" ht="12.75" hidden="1" customHeight="1" x14ac:dyDescent="0.3">
      <c r="B14" s="73">
        <f>LN((D7/F7)/(D8/F8))</f>
        <v>-6.3836139237121281E-2</v>
      </c>
      <c r="C14" s="73">
        <f>SQRT((E7/(D7*F7)+(E8/(D8*F8))))</f>
        <v>2.4659835239313282E-2</v>
      </c>
      <c r="D14" s="97">
        <f>-NORMSINV((1-I2)/2)</f>
        <v>1.9599639845400536</v>
      </c>
      <c r="E14" s="73">
        <f>B14-(D14*C14)</f>
        <v>-0.11216852817086698</v>
      </c>
      <c r="F14" s="74">
        <f>B14+(D14*C14)</f>
        <v>-1.5503750303375592E-2</v>
      </c>
      <c r="G14" s="230">
        <f>(D7/F7)/(D8/F8)</f>
        <v>0.93815871433910558</v>
      </c>
      <c r="H14" s="230">
        <f>EXP(E14)</f>
        <v>0.89389359855246164</v>
      </c>
      <c r="I14" s="230">
        <f>EXP(F14)</f>
        <v>0.98461581413679733</v>
      </c>
      <c r="J14" s="91"/>
      <c r="K14" s="231">
        <f>1-G14</f>
        <v>6.1841285660894418E-2</v>
      </c>
      <c r="L14" s="230">
        <f>1-H14</f>
        <v>0.10610640144753836</v>
      </c>
      <c r="M14" s="98">
        <f>1-I14</f>
        <v>1.5384185863202671E-2</v>
      </c>
      <c r="N14" s="99"/>
      <c r="P14" s="2"/>
      <c r="Q14" s="2"/>
      <c r="R14" s="2"/>
      <c r="S14" s="2"/>
      <c r="T14" s="2"/>
      <c r="U14" s="2"/>
      <c r="V14" s="2"/>
      <c r="W14" s="2"/>
      <c r="X14" s="2"/>
    </row>
    <row r="15" spans="2:31" s="4" customFormat="1" ht="12.75" hidden="1" customHeight="1" x14ac:dyDescent="0.3">
      <c r="B15" s="100"/>
      <c r="C15" s="2"/>
      <c r="D15" s="2"/>
      <c r="E15" s="2"/>
      <c r="F15" s="31"/>
      <c r="G15" s="101"/>
      <c r="H15" s="91"/>
      <c r="I15" s="93"/>
      <c r="J15" s="91"/>
      <c r="K15" s="93"/>
      <c r="L15" s="93"/>
      <c r="M15" s="93"/>
      <c r="N15" s="94"/>
      <c r="P15" s="2"/>
      <c r="Q15" s="2"/>
      <c r="R15" s="2"/>
      <c r="S15" s="2"/>
      <c r="T15" s="2"/>
      <c r="U15" s="2"/>
      <c r="V15" s="2"/>
      <c r="W15" s="2"/>
      <c r="X15" s="2"/>
    </row>
    <row r="16" spans="2:31" s="12" customFormat="1" ht="12.75" hidden="1" customHeight="1" x14ac:dyDescent="0.3">
      <c r="B16" s="70"/>
      <c r="C16" s="10"/>
      <c r="D16" s="32"/>
      <c r="E16" s="33"/>
      <c r="F16" s="34"/>
      <c r="G16" s="102"/>
      <c r="H16" s="103"/>
      <c r="I16" s="104"/>
      <c r="J16" s="104"/>
      <c r="K16" s="105"/>
      <c r="L16" s="105"/>
      <c r="M16" s="106"/>
      <c r="N16" s="106"/>
    </row>
    <row r="17" spans="2:31" ht="15.75" hidden="1" customHeight="1" x14ac:dyDescent="0.3">
      <c r="B17" s="40" t="s">
        <v>69</v>
      </c>
      <c r="C17" s="2"/>
      <c r="D17" s="37"/>
      <c r="E17" s="37"/>
      <c r="F17" s="2"/>
      <c r="G17" s="2"/>
      <c r="H17" s="38"/>
      <c r="I17" s="37"/>
      <c r="J17" s="232"/>
      <c r="K17" s="232"/>
      <c r="L17" s="4"/>
      <c r="M17" s="94"/>
      <c r="N17" s="91"/>
      <c r="O17" s="37"/>
      <c r="P17" s="2"/>
      <c r="Q17" s="2"/>
      <c r="R17" s="38"/>
      <c r="S17" s="38"/>
      <c r="T17" s="37"/>
      <c r="U17" s="39"/>
      <c r="V17" s="39"/>
      <c r="W17" s="39"/>
      <c r="X17" s="12"/>
      <c r="Y17" s="12"/>
      <c r="Z17" s="12"/>
      <c r="AA17" s="12"/>
      <c r="AB17" s="12"/>
      <c r="AC17" s="12"/>
      <c r="AD17" s="12"/>
    </row>
    <row r="18" spans="2:31" ht="12.75" hidden="1" customHeight="1" x14ac:dyDescent="0.3">
      <c r="B18" s="40" t="s">
        <v>70</v>
      </c>
      <c r="C18" s="2"/>
      <c r="D18" s="37"/>
      <c r="E18" s="37"/>
      <c r="F18" s="2"/>
      <c r="G18" s="2"/>
      <c r="H18" s="38"/>
      <c r="I18" s="37"/>
      <c r="J18" s="144"/>
      <c r="K18" s="144"/>
      <c r="L18" s="144"/>
      <c r="M18" s="94"/>
      <c r="N18" s="91"/>
      <c r="O18" s="2"/>
      <c r="P18" s="2"/>
      <c r="Q18" s="38"/>
      <c r="R18" s="37"/>
      <c r="S18" s="37"/>
      <c r="T18" s="39"/>
      <c r="U18" s="39"/>
      <c r="V18" s="39"/>
      <c r="X18" s="12" t="s">
        <v>27</v>
      </c>
      <c r="Y18" s="12"/>
      <c r="Z18" s="12"/>
      <c r="AA18" s="12"/>
      <c r="AB18" s="12"/>
      <c r="AC18" s="12"/>
    </row>
    <row r="19" spans="2:31" ht="25.5" hidden="1" customHeight="1" x14ac:dyDescent="0.3">
      <c r="B19" s="236" t="s">
        <v>71</v>
      </c>
      <c r="C19" s="12" t="s">
        <v>9</v>
      </c>
      <c r="D19" s="4"/>
      <c r="E19" s="12" t="s">
        <v>72</v>
      </c>
      <c r="F19" s="12"/>
      <c r="G19" s="12" t="s">
        <v>7</v>
      </c>
      <c r="H19" s="12"/>
      <c r="I19" s="12" t="s">
        <v>8</v>
      </c>
      <c r="J19" s="144"/>
      <c r="K19" s="144"/>
      <c r="L19" s="144"/>
      <c r="M19" s="94"/>
      <c r="N19" s="105"/>
      <c r="P19" s="5"/>
      <c r="U19" s="12"/>
      <c r="W19" s="5"/>
      <c r="X19" s="5" t="s">
        <v>28</v>
      </c>
      <c r="Z19" s="12"/>
      <c r="AA19" s="12"/>
      <c r="AB19" s="12"/>
      <c r="AC19" s="12"/>
      <c r="AD19" s="12"/>
      <c r="AE19" s="12"/>
    </row>
    <row r="20" spans="2:31" ht="38.25" hidden="1" customHeight="1" x14ac:dyDescent="0.4">
      <c r="B20" s="157" t="s">
        <v>73</v>
      </c>
      <c r="C20" s="157" t="s">
        <v>26</v>
      </c>
      <c r="D20" s="157" t="s">
        <v>10</v>
      </c>
      <c r="E20" s="157" t="s">
        <v>9</v>
      </c>
      <c r="F20" s="157" t="s">
        <v>72</v>
      </c>
      <c r="G20" s="157" t="s">
        <v>7</v>
      </c>
      <c r="H20" s="157" t="s">
        <v>8</v>
      </c>
      <c r="I20" s="233" t="s">
        <v>5</v>
      </c>
      <c r="J20" s="157" t="s">
        <v>74</v>
      </c>
      <c r="K20" s="157" t="s">
        <v>0</v>
      </c>
      <c r="L20" s="157" t="s">
        <v>1</v>
      </c>
      <c r="M20" s="107"/>
      <c r="N20" s="108"/>
      <c r="O20" s="109" t="s">
        <v>13</v>
      </c>
      <c r="P20" s="110" t="s">
        <v>54</v>
      </c>
      <c r="Q20" s="111"/>
      <c r="R20" s="112"/>
      <c r="S20" s="112"/>
      <c r="T20" s="113"/>
      <c r="U20" s="113"/>
      <c r="V20" s="114"/>
      <c r="X20" s="115"/>
      <c r="Y20" s="109" t="s">
        <v>55</v>
      </c>
      <c r="Z20" s="110" t="s">
        <v>75</v>
      </c>
      <c r="AA20" s="75"/>
      <c r="AB20" s="75"/>
      <c r="AC20" s="75" t="s">
        <v>76</v>
      </c>
      <c r="AD20" s="75"/>
      <c r="AE20" s="69"/>
    </row>
    <row r="21" spans="2:31" ht="12.75" hidden="1" customHeight="1" x14ac:dyDescent="0.3">
      <c r="B21" s="234">
        <f>D7</f>
        <v>1630</v>
      </c>
      <c r="C21" s="235">
        <f>F7</f>
        <v>3450</v>
      </c>
      <c r="D21" s="237">
        <f>B21/C21</f>
        <v>0.47246376811594204</v>
      </c>
      <c r="E21" s="238">
        <f>2*B21+I21^2</f>
        <v>3263.8414588206942</v>
      </c>
      <c r="F21" s="238">
        <f>I21*SQRT((I21^2)+(4*B21*(1-D21)))</f>
        <v>115.0112759817016</v>
      </c>
      <c r="G21" s="239">
        <f>2*(C21+I21^2)</f>
        <v>6907.6829176413885</v>
      </c>
      <c r="H21" s="192" t="s">
        <v>11</v>
      </c>
      <c r="I21" s="97">
        <f>-NORMSINV((1-I2)/2)</f>
        <v>1.9599639845400536</v>
      </c>
      <c r="J21" s="240">
        <f>D21</f>
        <v>0.47246376811594204</v>
      </c>
      <c r="K21" s="240">
        <f>(E21-F21)/G21</f>
        <v>0.45584463276350751</v>
      </c>
      <c r="L21" s="240">
        <f>(E21+F21)/G21</f>
        <v>0.48914415659891014</v>
      </c>
      <c r="M21" s="107"/>
      <c r="N21" s="116">
        <f>F9/2</f>
        <v>3457.5</v>
      </c>
      <c r="O21" s="20" t="s">
        <v>14</v>
      </c>
      <c r="P21" s="2"/>
      <c r="Q21" s="38"/>
      <c r="R21" s="37"/>
      <c r="S21" s="37"/>
      <c r="T21" s="39"/>
      <c r="U21" s="39"/>
      <c r="V21" s="117"/>
      <c r="X21" s="118">
        <f>ABS(D21-D22)</f>
        <v>3.1143735491561575E-2</v>
      </c>
      <c r="Y21" s="20" t="s">
        <v>77</v>
      </c>
      <c r="Z21" s="2"/>
      <c r="AA21" s="20"/>
      <c r="AB21" s="20"/>
      <c r="AC21" s="20" t="s">
        <v>78</v>
      </c>
      <c r="AD21" s="20"/>
      <c r="AE21" s="119"/>
    </row>
    <row r="22" spans="2:31" ht="14.25" hidden="1" customHeight="1" x14ac:dyDescent="0.4">
      <c r="B22" s="234">
        <f>D8</f>
        <v>1745</v>
      </c>
      <c r="C22" s="235">
        <f>F8</f>
        <v>3465</v>
      </c>
      <c r="D22" s="237">
        <f>B22/C22</f>
        <v>0.50360750360750361</v>
      </c>
      <c r="E22" s="238">
        <f>2*B22+I22^2</f>
        <v>3493.8414588206942</v>
      </c>
      <c r="F22" s="238">
        <f>I22*SQRT((I22^2)+(4*B22*(1-D22)))</f>
        <v>115.43274542238237</v>
      </c>
      <c r="G22" s="239">
        <f>2*(C22+I22^2)</f>
        <v>6937.6829176413885</v>
      </c>
      <c r="H22" s="192" t="s">
        <v>11</v>
      </c>
      <c r="I22" s="97">
        <f>-NORMSINV((1-I2)/2)</f>
        <v>1.9599639845400536</v>
      </c>
      <c r="J22" s="240">
        <f>D22</f>
        <v>0.50360750360750361</v>
      </c>
      <c r="K22" s="240">
        <f>(E22-F22)/G22</f>
        <v>0.48696499299608714</v>
      </c>
      <c r="L22" s="240">
        <f>(E22+F22)/G22</f>
        <v>0.52024202418725207</v>
      </c>
      <c r="M22" s="107"/>
      <c r="N22" s="120">
        <f>J26</f>
        <v>3.1143735491561575E-2</v>
      </c>
      <c r="O22" s="20" t="s">
        <v>15</v>
      </c>
      <c r="P22" s="20"/>
      <c r="Q22" s="20"/>
      <c r="R22" s="20"/>
      <c r="S22" s="20"/>
      <c r="T22" s="20"/>
      <c r="U22" s="20"/>
      <c r="V22" s="77"/>
      <c r="X22" s="121">
        <f>SQRT((D23*(1-D23)/C21)+(D23*(1-D23)/C22))</f>
        <v>1.2022125584971621E-2</v>
      </c>
      <c r="Y22" s="40" t="s">
        <v>79</v>
      </c>
      <c r="Z22" s="20"/>
      <c r="AA22" s="20"/>
      <c r="AB22" s="20"/>
      <c r="AC22" s="20"/>
      <c r="AD22" s="20"/>
      <c r="AE22" s="119"/>
    </row>
    <row r="23" spans="2:31" ht="12.75" hidden="1" customHeight="1" x14ac:dyDescent="0.3">
      <c r="B23" s="234">
        <f>D9</f>
        <v>3375</v>
      </c>
      <c r="C23" s="235">
        <f>F9</f>
        <v>6915</v>
      </c>
      <c r="D23" s="237">
        <f>B23/C23</f>
        <v>0.48806941431670281</v>
      </c>
      <c r="E23" s="238">
        <f>2*B23+I23^2</f>
        <v>6753.8414588206942</v>
      </c>
      <c r="F23" s="238">
        <f>I23*SQRT((I23^2)+(4*B23*(1-D23)))</f>
        <v>162.98257688869671</v>
      </c>
      <c r="G23" s="239">
        <f>2*(C23+I23^2)</f>
        <v>13837.682917641388</v>
      </c>
      <c r="H23" s="192" t="s">
        <v>11</v>
      </c>
      <c r="I23" s="97">
        <f>-NORMSINV((1-I2)/2)</f>
        <v>1.9599639845400536</v>
      </c>
      <c r="J23" s="240">
        <f>D23</f>
        <v>0.48806941431670281</v>
      </c>
      <c r="K23" s="240">
        <f>(E23-F23)/G23</f>
        <v>0.47629786873707314</v>
      </c>
      <c r="L23" s="240">
        <f>(E23+F23)/G23</f>
        <v>0.49985420802577207</v>
      </c>
      <c r="M23" s="107"/>
      <c r="N23" s="122">
        <f>(B21+B22)/(C21+C22)</f>
        <v>0.48806941431670281</v>
      </c>
      <c r="O23" s="20" t="s">
        <v>6</v>
      </c>
      <c r="P23" s="2"/>
      <c r="Q23" s="38"/>
      <c r="R23" s="37"/>
      <c r="S23" s="37"/>
      <c r="T23" s="39"/>
      <c r="U23" s="39"/>
      <c r="V23" s="119"/>
      <c r="X23" s="123">
        <f>X21/X22</f>
        <v>2.5905348660217884</v>
      </c>
      <c r="Y23" s="20" t="s">
        <v>40</v>
      </c>
      <c r="Z23" s="2"/>
      <c r="AA23" s="20"/>
      <c r="AB23" s="20"/>
      <c r="AC23" s="20"/>
      <c r="AD23" s="20"/>
      <c r="AE23" s="119"/>
    </row>
    <row r="24" spans="2:31" ht="15" hidden="1" customHeight="1" x14ac:dyDescent="0.3">
      <c r="B24" s="70"/>
      <c r="C24" s="241" t="s">
        <v>12</v>
      </c>
      <c r="D24" s="12"/>
      <c r="E24" s="12"/>
      <c r="F24" s="35"/>
      <c r="G24" s="104"/>
      <c r="H24" s="104"/>
      <c r="I24" s="104"/>
      <c r="J24" s="104"/>
      <c r="K24" s="105"/>
      <c r="L24" s="105"/>
      <c r="M24" s="107"/>
      <c r="N24" s="124">
        <f>SQRT(N21*N22^2/(2*N23*(1-N23)))-I21</f>
        <v>0.63057697627709208</v>
      </c>
      <c r="O24" s="20" t="s">
        <v>80</v>
      </c>
      <c r="P24" s="20"/>
      <c r="Q24" s="20"/>
      <c r="R24" s="20"/>
      <c r="S24" s="20"/>
      <c r="T24" s="20"/>
      <c r="U24" s="4"/>
      <c r="V24" s="117"/>
      <c r="X24" s="125">
        <f>NORMSDIST(-X23)</f>
        <v>4.7913456948454553E-3</v>
      </c>
      <c r="Y24" s="36" t="s">
        <v>81</v>
      </c>
      <c r="Z24" s="20"/>
      <c r="AA24" s="4"/>
      <c r="AB24" s="4"/>
      <c r="AC24" s="4"/>
      <c r="AD24" s="4"/>
      <c r="AE24" s="77"/>
    </row>
    <row r="25" spans="2:31" ht="13.5" hidden="1" customHeight="1" x14ac:dyDescent="0.3">
      <c r="B25" s="70"/>
      <c r="C25" s="241" t="s">
        <v>99</v>
      </c>
      <c r="D25" s="64"/>
      <c r="E25" s="4"/>
      <c r="F25" s="35"/>
      <c r="G25" s="104"/>
      <c r="H25" s="105"/>
      <c r="I25" s="105"/>
      <c r="J25" s="242"/>
      <c r="K25" s="242"/>
      <c r="L25" s="242"/>
      <c r="M25" s="107"/>
      <c r="N25" s="126">
        <f>NORMSDIST(N24)</f>
        <v>0.73584142154072585</v>
      </c>
      <c r="O25" s="36" t="s">
        <v>16</v>
      </c>
      <c r="P25" s="41"/>
      <c r="Q25" s="20"/>
      <c r="R25" s="20"/>
      <c r="S25" s="20"/>
      <c r="T25" s="20"/>
      <c r="U25" s="20"/>
      <c r="V25" s="119"/>
      <c r="X25" s="127">
        <f>1-X24</f>
        <v>0.99520865430515459</v>
      </c>
      <c r="Y25" s="42" t="s">
        <v>82</v>
      </c>
      <c r="Z25" s="41"/>
      <c r="AA25" s="4"/>
      <c r="AB25" s="4"/>
      <c r="AC25" s="4"/>
      <c r="AD25" s="4"/>
      <c r="AE25" s="77"/>
    </row>
    <row r="26" spans="2:31" ht="15" hidden="1" customHeight="1" x14ac:dyDescent="0.35">
      <c r="B26" s="12"/>
      <c r="C26" s="12"/>
      <c r="D26" s="12"/>
      <c r="E26" s="12"/>
      <c r="F26" s="243"/>
      <c r="G26" s="105"/>
      <c r="H26" s="105"/>
      <c r="I26" s="65" t="s">
        <v>23</v>
      </c>
      <c r="J26" s="237">
        <f>D22-D21</f>
        <v>3.1143735491561575E-2</v>
      </c>
      <c r="K26" s="237">
        <f>J26+SQRT((D22-K22)^2+(L21-D21)^2)</f>
        <v>5.4706598632399212E-2</v>
      </c>
      <c r="L26" s="237">
        <f>J26-SQRT((D21-K21)^2+(L22-D22)^2)</f>
        <v>7.6298473660172533E-3</v>
      </c>
      <c r="M26" s="89"/>
      <c r="N26" s="128">
        <f>1-N25</f>
        <v>0.26415857845927415</v>
      </c>
      <c r="O26" s="129" t="s">
        <v>83</v>
      </c>
      <c r="P26" s="130"/>
      <c r="Q26" s="131"/>
      <c r="R26" s="130"/>
      <c r="S26" s="130"/>
      <c r="T26" s="130"/>
      <c r="U26" s="130"/>
      <c r="V26" s="132"/>
      <c r="X26" s="133"/>
      <c r="Y26" s="134"/>
      <c r="Z26" s="130"/>
      <c r="AA26" s="134"/>
      <c r="AB26" s="134"/>
      <c r="AC26" s="134"/>
      <c r="AD26" s="134"/>
      <c r="AE26" s="135"/>
    </row>
    <row r="27" spans="2:31" ht="13.5" hidden="1" customHeight="1" x14ac:dyDescent="0.3">
      <c r="B27" s="12"/>
      <c r="C27" s="12"/>
      <c r="D27" s="12"/>
      <c r="E27" s="12"/>
      <c r="F27" s="24"/>
      <c r="G27" s="105"/>
      <c r="H27" s="105"/>
      <c r="I27" s="65" t="s">
        <v>24</v>
      </c>
      <c r="J27" s="235">
        <f>1/J26</f>
        <v>32.109186140209509</v>
      </c>
      <c r="K27" s="235">
        <f>1/K26</f>
        <v>18.279330556072335</v>
      </c>
      <c r="L27" s="235">
        <f>1/L26</f>
        <v>131.06422081966176</v>
      </c>
      <c r="M27" s="89"/>
      <c r="N27" s="90"/>
      <c r="O27" s="5"/>
      <c r="P27" s="5"/>
      <c r="V27" s="5"/>
      <c r="W27" s="5"/>
      <c r="X27" s="12"/>
      <c r="Y27" s="12"/>
      <c r="Z27" s="12"/>
      <c r="AA27" s="12"/>
      <c r="AB27" s="12"/>
      <c r="AC27" s="12"/>
      <c r="AD27" s="12"/>
    </row>
    <row r="28" spans="2:31" ht="14.25" hidden="1" customHeight="1" x14ac:dyDescent="0.4">
      <c r="G28" s="90"/>
      <c r="H28" s="90"/>
      <c r="K28" s="136"/>
      <c r="L28" s="136"/>
      <c r="M28" s="137"/>
      <c r="N28" s="108"/>
      <c r="O28" s="138"/>
      <c r="P28" s="138" t="s">
        <v>79</v>
      </c>
      <c r="Q28" s="139">
        <f>SQRT((D23*(1-D23)/C21)+(D23*(1-D23)/C22))</f>
        <v>1.2022125584971621E-2</v>
      </c>
      <c r="R28" s="140"/>
      <c r="S28" s="140"/>
      <c r="T28" s="140"/>
      <c r="U28" s="140"/>
      <c r="V28" s="69"/>
      <c r="W28" s="5"/>
    </row>
    <row r="29" spans="2:31" ht="31.5" hidden="1" customHeight="1" x14ac:dyDescent="0.3">
      <c r="F29" s="141"/>
      <c r="G29" s="141"/>
      <c r="H29" s="141"/>
      <c r="I29" s="141"/>
      <c r="J29" s="141"/>
      <c r="K29" s="141"/>
      <c r="L29" s="141"/>
      <c r="M29" s="90"/>
      <c r="N29" s="142" t="s">
        <v>84</v>
      </c>
      <c r="O29" s="143"/>
      <c r="P29" s="20" t="s">
        <v>85</v>
      </c>
      <c r="Q29" s="20"/>
      <c r="R29" s="38"/>
      <c r="S29" s="38"/>
      <c r="T29" s="144" t="s">
        <v>86</v>
      </c>
      <c r="U29" s="20"/>
      <c r="V29" s="119"/>
      <c r="W29" s="5"/>
    </row>
    <row r="30" spans="2:31" s="4" customFormat="1" ht="14.25" hidden="1" customHeight="1" x14ac:dyDescent="0.4">
      <c r="F30" s="210"/>
      <c r="G30" s="94"/>
      <c r="I30" s="28"/>
      <c r="J30" s="211"/>
      <c r="K30" s="211"/>
      <c r="L30" s="211"/>
      <c r="M30" s="90"/>
      <c r="N30" s="145"/>
      <c r="O30" s="63" t="s">
        <v>87</v>
      </c>
      <c r="Q30" s="146" t="s">
        <v>88</v>
      </c>
      <c r="R30" s="63" t="s">
        <v>89</v>
      </c>
      <c r="S30" s="63"/>
      <c r="T30" s="20"/>
      <c r="U30" s="20"/>
      <c r="V30" s="77"/>
    </row>
    <row r="31" spans="2:31" s="4" customFormat="1" ht="14.25" hidden="1" customHeight="1" x14ac:dyDescent="0.4">
      <c r="F31" s="210"/>
      <c r="G31" s="94"/>
      <c r="I31" s="28"/>
      <c r="J31" s="211"/>
      <c r="K31" s="211"/>
      <c r="L31" s="211"/>
      <c r="M31" s="94"/>
      <c r="N31" s="124">
        <f>ABS((J26/Q28))-I21</f>
        <v>0.63057088148173479</v>
      </c>
      <c r="O31" s="63" t="s">
        <v>90</v>
      </c>
      <c r="P31" s="20"/>
      <c r="Q31" s="20"/>
      <c r="R31" s="37"/>
      <c r="S31" s="37"/>
      <c r="T31" s="39"/>
      <c r="U31" s="39"/>
      <c r="V31" s="117"/>
    </row>
    <row r="32" spans="2:31" s="4" customFormat="1" ht="12.75" hidden="1" customHeight="1" x14ac:dyDescent="0.3">
      <c r="B32" s="147"/>
      <c r="C32" s="44"/>
      <c r="E32" s="29"/>
      <c r="F32" s="210"/>
      <c r="G32" s="212"/>
      <c r="H32" s="213"/>
      <c r="I32" s="214"/>
      <c r="J32" s="211"/>
      <c r="K32" s="211"/>
      <c r="L32" s="211"/>
      <c r="M32" s="94"/>
      <c r="N32" s="126">
        <f>NORMSDIST(N31)</f>
        <v>0.73583942845328587</v>
      </c>
      <c r="O32" s="40" t="s">
        <v>91</v>
      </c>
      <c r="P32" s="41"/>
      <c r="Q32" s="20"/>
      <c r="R32" s="20"/>
      <c r="S32" s="20"/>
      <c r="T32" s="20"/>
      <c r="U32" s="20"/>
      <c r="V32" s="77"/>
    </row>
    <row r="33" spans="2:23" s="4" customFormat="1" ht="12.75" hidden="1" customHeight="1" x14ac:dyDescent="0.3">
      <c r="B33" s="147"/>
      <c r="F33" s="210"/>
      <c r="G33" s="151"/>
      <c r="H33" s="45"/>
      <c r="I33" s="45"/>
      <c r="J33" s="215"/>
      <c r="K33" s="215"/>
      <c r="L33" s="215"/>
      <c r="M33" s="94"/>
      <c r="N33" s="128">
        <f>1-N32</f>
        <v>0.26416057154671413</v>
      </c>
      <c r="O33" s="130" t="s">
        <v>92</v>
      </c>
      <c r="P33" s="130"/>
      <c r="Q33" s="131"/>
      <c r="R33" s="148"/>
      <c r="S33" s="148"/>
      <c r="T33" s="149"/>
      <c r="U33" s="149"/>
      <c r="V33" s="132"/>
    </row>
    <row r="34" spans="2:23" ht="15.75" hidden="1" customHeight="1" x14ac:dyDescent="0.35">
      <c r="B34" s="150" t="s">
        <v>93</v>
      </c>
      <c r="C34" s="48"/>
      <c r="D34" s="48"/>
      <c r="E34" s="48"/>
      <c r="F34" s="210"/>
      <c r="G34" s="212"/>
      <c r="H34" s="213"/>
      <c r="I34" s="214"/>
      <c r="J34" s="211"/>
      <c r="K34" s="211"/>
      <c r="L34" s="211"/>
      <c r="M34" s="90"/>
      <c r="N34" s="89"/>
      <c r="O34" s="20"/>
      <c r="P34" s="20"/>
      <c r="Q34" s="20"/>
      <c r="R34" s="20"/>
      <c r="S34" s="20"/>
      <c r="T34" s="20"/>
      <c r="U34" s="20"/>
      <c r="V34" s="20"/>
      <c r="W34" s="20"/>
    </row>
    <row r="35" spans="2:23" s="12" customFormat="1" ht="12.75" hidden="1" customHeight="1" x14ac:dyDescent="0.3">
      <c r="B35" s="71"/>
      <c r="C35" s="49" t="s">
        <v>20</v>
      </c>
      <c r="D35" s="50" t="s">
        <v>21</v>
      </c>
      <c r="E35" s="20"/>
      <c r="F35" s="45"/>
      <c r="G35" s="151"/>
      <c r="H35" s="152"/>
      <c r="I35" s="153"/>
      <c r="J35" s="154"/>
      <c r="K35" s="154"/>
      <c r="L35" s="154"/>
      <c r="M35" s="105"/>
      <c r="N35" s="94"/>
      <c r="O35" s="4"/>
      <c r="P35" s="4"/>
      <c r="Q35" s="4"/>
      <c r="R35" s="4"/>
      <c r="S35" s="4"/>
    </row>
    <row r="36" spans="2:23" ht="12.75" hidden="1" customHeight="1" x14ac:dyDescent="0.3">
      <c r="B36" s="155" t="s">
        <v>32</v>
      </c>
      <c r="C36" s="52" t="s">
        <v>3</v>
      </c>
      <c r="D36" s="53" t="s">
        <v>2</v>
      </c>
      <c r="E36" s="54" t="s">
        <v>22</v>
      </c>
      <c r="M36" s="90"/>
      <c r="N36" s="94"/>
      <c r="O36" s="4"/>
      <c r="P36" s="4"/>
      <c r="Q36" s="4"/>
      <c r="R36" s="4"/>
      <c r="S36" s="4"/>
      <c r="V36" s="5"/>
      <c r="W36" s="5"/>
    </row>
    <row r="37" spans="2:23" ht="12.75" hidden="1" customHeight="1" x14ac:dyDescent="0.3">
      <c r="B37" s="156" t="s">
        <v>17</v>
      </c>
      <c r="C37" s="249">
        <f>F7*D9/F9</f>
        <v>1683.8394793926248</v>
      </c>
      <c r="D37" s="249">
        <f>F7*E9/F9</f>
        <v>1766.1605206073752</v>
      </c>
      <c r="E37" s="249">
        <f>F7</f>
        <v>3450</v>
      </c>
      <c r="G37" s="157"/>
      <c r="H37" s="158" t="s">
        <v>30</v>
      </c>
      <c r="I37" s="248">
        <f>CHIINV(0.05,K38)</f>
        <v>3.8414588206941236</v>
      </c>
      <c r="J37" s="90"/>
      <c r="K37" s="90"/>
      <c r="L37" s="90"/>
      <c r="M37" s="90"/>
      <c r="N37" s="94"/>
      <c r="O37" s="46"/>
      <c r="P37" s="46"/>
      <c r="Q37" s="46"/>
      <c r="R37" s="4"/>
      <c r="S37" s="4"/>
      <c r="V37" s="5"/>
      <c r="W37" s="5"/>
    </row>
    <row r="38" spans="2:23" ht="12.75" hidden="1" customHeight="1" x14ac:dyDescent="0.3">
      <c r="B38" s="159" t="s">
        <v>18</v>
      </c>
      <c r="C38" s="249">
        <f>F8*D9/F9</f>
        <v>1691.1605206073752</v>
      </c>
      <c r="D38" s="249">
        <f>F8*E9/F9</f>
        <v>1773.8394793926248</v>
      </c>
      <c r="E38" s="249">
        <f>F8</f>
        <v>3465</v>
      </c>
      <c r="F38" s="12"/>
      <c r="G38" s="160"/>
      <c r="H38" s="160"/>
      <c r="I38" s="161"/>
      <c r="J38" s="162" t="s">
        <v>31</v>
      </c>
      <c r="K38" s="163">
        <f>(COUNT(C37:D37)-1)*(COUNT(C37:C38)-1)</f>
        <v>1</v>
      </c>
      <c r="L38" s="90"/>
      <c r="M38" s="90"/>
      <c r="N38" s="90"/>
      <c r="O38" s="46"/>
      <c r="P38" s="46"/>
      <c r="Q38" s="46"/>
      <c r="R38" s="4"/>
      <c r="S38" s="4"/>
      <c r="V38" s="5"/>
      <c r="W38" s="5"/>
    </row>
    <row r="39" spans="2:23" ht="12.75" hidden="1" customHeight="1" x14ac:dyDescent="0.3">
      <c r="B39" s="164" t="s">
        <v>29</v>
      </c>
      <c r="C39" s="249">
        <f>SUM(C37:C38)</f>
        <v>3375</v>
      </c>
      <c r="D39" s="249">
        <f>SUM(D37:D38)</f>
        <v>3540</v>
      </c>
      <c r="E39" s="250">
        <f>SUM(E37:E38)</f>
        <v>6915</v>
      </c>
      <c r="F39" s="105"/>
      <c r="G39" s="165" t="s">
        <v>33</v>
      </c>
      <c r="H39" s="66" t="s">
        <v>34</v>
      </c>
      <c r="I39" s="90"/>
      <c r="K39" s="90"/>
      <c r="L39" s="90"/>
      <c r="M39" s="90"/>
      <c r="N39" s="90"/>
      <c r="O39" s="46"/>
      <c r="P39" s="47"/>
      <c r="Q39" s="46"/>
      <c r="R39" s="4"/>
      <c r="S39" s="4"/>
      <c r="V39" s="5"/>
      <c r="W39" s="5"/>
    </row>
    <row r="40" spans="2:23" ht="12.75" hidden="1" customHeight="1" x14ac:dyDescent="0.3">
      <c r="B40" s="164"/>
      <c r="C40" s="55"/>
      <c r="D40" s="55"/>
      <c r="E40" s="56"/>
      <c r="F40" s="105"/>
      <c r="G40" s="165" t="s">
        <v>35</v>
      </c>
      <c r="H40" s="66" t="s">
        <v>36</v>
      </c>
      <c r="I40" s="90"/>
      <c r="K40" s="90"/>
      <c r="L40" s="90"/>
      <c r="W40" s="5"/>
    </row>
    <row r="41" spans="2:23" ht="23" hidden="1" customHeight="1" x14ac:dyDescent="0.3">
      <c r="B41" s="166"/>
      <c r="C41" s="297" t="s">
        <v>105</v>
      </c>
      <c r="D41" s="298"/>
      <c r="G41" s="90"/>
      <c r="H41" s="167"/>
      <c r="I41" s="90"/>
      <c r="W41" s="5"/>
    </row>
    <row r="42" spans="2:23" ht="12.75" hidden="1" customHeight="1" x14ac:dyDescent="0.3">
      <c r="B42" s="166"/>
      <c r="C42" s="57">
        <f>(D7-C37)^2/C37</f>
        <v>1.7214761720128142</v>
      </c>
      <c r="D42" s="57">
        <f>(E7-D37)^2/D37</f>
        <v>1.6412378758596746</v>
      </c>
      <c r="F42" s="51"/>
      <c r="G42" s="168"/>
      <c r="H42" s="90"/>
      <c r="I42" s="90"/>
      <c r="K42" s="5" t="s">
        <v>106</v>
      </c>
      <c r="O42" s="5"/>
      <c r="P42" s="5"/>
      <c r="T42" s="4"/>
      <c r="U42" s="4"/>
      <c r="W42" s="5"/>
    </row>
    <row r="43" spans="2:23" ht="12.75" hidden="1" customHeight="1" x14ac:dyDescent="0.3">
      <c r="B43" s="166"/>
      <c r="C43" s="57">
        <f>(D8-C38)^2/C38</f>
        <v>1.7140238942118928</v>
      </c>
      <c r="D43" s="57">
        <f>(E8-D38)^2/D38</f>
        <v>1.634132949990152</v>
      </c>
      <c r="E43" s="16"/>
      <c r="F43" s="58" t="s">
        <v>37</v>
      </c>
      <c r="G43" s="169">
        <f>C45-I37</f>
        <v>2.8694120713804097</v>
      </c>
      <c r="H43" s="90"/>
      <c r="I43" s="90"/>
      <c r="K43" s="157" t="s">
        <v>73</v>
      </c>
      <c r="L43" s="157" t="s">
        <v>26</v>
      </c>
      <c r="M43" s="244" t="s">
        <v>100</v>
      </c>
      <c r="N43" s="244" t="s">
        <v>101</v>
      </c>
      <c r="O43" s="244" t="s">
        <v>102</v>
      </c>
      <c r="P43" s="244" t="s">
        <v>103</v>
      </c>
      <c r="Q43" s="157" t="s">
        <v>104</v>
      </c>
      <c r="R43" s="157" t="s">
        <v>63</v>
      </c>
      <c r="S43" s="244" t="s">
        <v>74</v>
      </c>
      <c r="T43" s="244" t="s">
        <v>107</v>
      </c>
      <c r="U43" s="244" t="s">
        <v>108</v>
      </c>
      <c r="W43" s="5"/>
    </row>
    <row r="44" spans="2:23" ht="12.75" hidden="1" customHeight="1" x14ac:dyDescent="0.3">
      <c r="B44" s="66" t="s">
        <v>39</v>
      </c>
      <c r="D44" s="59"/>
      <c r="F44" s="252" t="s">
        <v>109</v>
      </c>
      <c r="H44" s="90"/>
      <c r="I44" s="90"/>
      <c r="K44" s="246">
        <f>D7</f>
        <v>1630</v>
      </c>
      <c r="L44" s="246">
        <f>F7</f>
        <v>3450</v>
      </c>
      <c r="M44" s="245">
        <f>K44/L44</f>
        <v>0.47246376811594204</v>
      </c>
      <c r="N44" s="245">
        <f>1-M44</f>
        <v>0.52753623188405796</v>
      </c>
      <c r="O44" s="97">
        <f>M44*N44</f>
        <v>0.24924175593362738</v>
      </c>
      <c r="P44" s="251">
        <f>SQRT(M44*N44/L44)</f>
        <v>8.4996463001196926E-3</v>
      </c>
      <c r="Q44" s="97">
        <f>-NORMSINV((1-I2)/2)</f>
        <v>1.9599639845400536</v>
      </c>
      <c r="R44" s="247">
        <f>P44*Q44</f>
        <v>1.6659000629563717E-2</v>
      </c>
      <c r="S44" s="240">
        <f>M44</f>
        <v>0.47246376811594204</v>
      </c>
      <c r="T44" s="240">
        <f>S44-(Q44*P44)</f>
        <v>0.45580476748637833</v>
      </c>
      <c r="U44" s="240">
        <f>S44+(Q44*P44)</f>
        <v>0.48912276874550575</v>
      </c>
      <c r="W44" s="5"/>
    </row>
    <row r="45" spans="2:23" ht="13.5" hidden="1" customHeight="1" x14ac:dyDescent="0.3">
      <c r="B45" s="78" t="s">
        <v>38</v>
      </c>
      <c r="C45" s="170">
        <f>SUM(C42:D43)</f>
        <v>6.7108708920745332</v>
      </c>
      <c r="D45" s="20"/>
      <c r="F45" s="252" t="s">
        <v>110</v>
      </c>
      <c r="H45" s="90"/>
      <c r="I45" s="171"/>
      <c r="K45" s="246">
        <f>D8</f>
        <v>1745</v>
      </c>
      <c r="L45" s="246">
        <f>F8</f>
        <v>3465</v>
      </c>
      <c r="M45" s="245">
        <f t="shared" ref="M45:M46" si="0">K45/L45</f>
        <v>0.50360750360750361</v>
      </c>
      <c r="N45" s="245">
        <f t="shared" ref="N45:N46" si="1">1-M45</f>
        <v>0.49639249639249639</v>
      </c>
      <c r="O45" s="97">
        <f>M45*N45</f>
        <v>0.24998698591772184</v>
      </c>
      <c r="P45" s="251">
        <f>SQRT(M45*N45/L45)</f>
        <v>8.493898768067042E-3</v>
      </c>
      <c r="Q45" s="97">
        <f>-NORMSINV((1-I2)/2)</f>
        <v>1.9599639845400536</v>
      </c>
      <c r="R45" s="247">
        <f t="shared" ref="R45:R46" si="2">P45*Q45</f>
        <v>1.6647735673740532E-2</v>
      </c>
      <c r="S45" s="240">
        <f>M45</f>
        <v>0.50360750360750361</v>
      </c>
      <c r="T45" s="240">
        <f t="shared" ref="T45:T46" si="3">S45-(Q45*P45)</f>
        <v>0.48695976793376305</v>
      </c>
      <c r="U45" s="240">
        <f t="shared" ref="U45:U46" si="4">S45+(Q45*P45)</f>
        <v>0.52025523928124418</v>
      </c>
      <c r="W45" s="5"/>
    </row>
    <row r="46" spans="2:23" ht="12.75" hidden="1" customHeight="1" x14ac:dyDescent="0.3">
      <c r="B46" s="172" t="s">
        <v>56</v>
      </c>
      <c r="C46" s="173">
        <f>CHIDIST(C45,1)</f>
        <v>9.5826913896908689E-3</v>
      </c>
      <c r="E46" s="20"/>
      <c r="F46" s="20"/>
      <c r="G46" s="89"/>
      <c r="H46" s="174"/>
      <c r="I46" s="89"/>
      <c r="K46" s="246">
        <f>D9</f>
        <v>3375</v>
      </c>
      <c r="L46" s="246">
        <f>F9</f>
        <v>6915</v>
      </c>
      <c r="M46" s="245">
        <f t="shared" si="0"/>
        <v>0.48806941431670281</v>
      </c>
      <c r="N46" s="245">
        <f t="shared" si="1"/>
        <v>0.51193058568329719</v>
      </c>
      <c r="O46" s="97">
        <f>M46*N46</f>
        <v>0.24985766112525351</v>
      </c>
      <c r="P46" s="251">
        <f>SQRT(M46*N46/L46)</f>
        <v>6.011048650189605E-3</v>
      </c>
      <c r="Q46" s="97">
        <f>-NORMSINV((1-I2)/2)</f>
        <v>1.9599639845400536</v>
      </c>
      <c r="R46" s="247">
        <f t="shared" si="2"/>
        <v>1.1781438863689729E-2</v>
      </c>
      <c r="S46" s="240">
        <f>M46</f>
        <v>0.48806941431670281</v>
      </c>
      <c r="T46" s="240">
        <f t="shared" si="3"/>
        <v>0.4762879754530131</v>
      </c>
      <c r="U46" s="240">
        <f t="shared" si="4"/>
        <v>0.49985085318039252</v>
      </c>
      <c r="V46" s="5"/>
      <c r="W46" s="5"/>
    </row>
    <row r="47" spans="2:23" s="4" customFormat="1" ht="12.75" hidden="1" customHeight="1" x14ac:dyDescent="0.3">
      <c r="B47" s="100"/>
      <c r="E47" s="60"/>
      <c r="F47" s="60"/>
      <c r="G47" s="94"/>
      <c r="H47" s="94"/>
      <c r="I47" s="175"/>
      <c r="J47" s="94"/>
      <c r="K47" s="94"/>
      <c r="L47" s="94"/>
      <c r="M47" s="94"/>
      <c r="N47" s="94"/>
    </row>
    <row r="48" spans="2:23" ht="13.5" hidden="1" customHeight="1" x14ac:dyDescent="0.3">
      <c r="B48" s="71"/>
      <c r="G48" s="90"/>
      <c r="H48" s="90"/>
      <c r="I48" s="90"/>
      <c r="J48" s="94"/>
      <c r="K48" s="94"/>
      <c r="L48" s="90"/>
      <c r="M48" s="90"/>
      <c r="N48" s="90"/>
      <c r="O48" s="5"/>
      <c r="P48" s="5"/>
      <c r="V48" s="5"/>
      <c r="W48" s="5"/>
    </row>
    <row r="49" spans="2:23" ht="12.75" hidden="1" customHeight="1" x14ac:dyDescent="0.3">
      <c r="B49" s="176" t="s">
        <v>94</v>
      </c>
      <c r="C49" s="76"/>
      <c r="D49" s="76"/>
      <c r="E49" s="76"/>
      <c r="F49" s="76"/>
      <c r="G49" s="76"/>
      <c r="H49" s="177"/>
      <c r="I49" s="90"/>
      <c r="J49" s="178"/>
      <c r="K49" s="253" t="s">
        <v>111</v>
      </c>
      <c r="L49" s="179"/>
      <c r="M49" s="179"/>
      <c r="N49" s="179"/>
      <c r="O49" s="69"/>
      <c r="P49" s="5"/>
      <c r="V49" s="5"/>
      <c r="W49" s="5"/>
    </row>
    <row r="50" spans="2:23" ht="12.75" hidden="1" customHeight="1" x14ac:dyDescent="0.3">
      <c r="B50" s="180">
        <f>I2*100</f>
        <v>95</v>
      </c>
      <c r="C50" s="45"/>
      <c r="D50" s="45"/>
      <c r="E50" s="4"/>
      <c r="F50" s="4"/>
      <c r="G50" s="4"/>
      <c r="H50" s="77"/>
      <c r="I50" s="90"/>
      <c r="J50" s="181"/>
      <c r="K50" s="94"/>
      <c r="L50" s="89"/>
      <c r="M50" s="89"/>
      <c r="N50" s="89"/>
      <c r="O50" s="119"/>
      <c r="P50" s="5"/>
      <c r="V50" s="5"/>
      <c r="W50" s="5"/>
    </row>
    <row r="51" spans="2:23" ht="12.75" hidden="1" customHeight="1" x14ac:dyDescent="0.3">
      <c r="B51" s="182" t="s">
        <v>42</v>
      </c>
      <c r="C51" s="183"/>
      <c r="D51" s="183"/>
      <c r="E51" s="1">
        <f>ROUND(G14,2)</f>
        <v>0.94</v>
      </c>
      <c r="F51" s="43">
        <f>ROUND(J26,4)</f>
        <v>3.1099999999999999E-2</v>
      </c>
      <c r="G51" s="184">
        <f>ROUND(J27,0)</f>
        <v>32</v>
      </c>
      <c r="H51" s="185"/>
      <c r="I51" s="90"/>
      <c r="J51" s="186" t="s">
        <v>42</v>
      </c>
      <c r="K51" s="4"/>
      <c r="L51" s="4"/>
      <c r="M51" s="4"/>
      <c r="N51" s="89"/>
      <c r="O51" s="119"/>
      <c r="P51" s="5"/>
      <c r="V51" s="5"/>
      <c r="W51" s="5"/>
    </row>
    <row r="52" spans="2:23" ht="12.75" hidden="1" customHeight="1" x14ac:dyDescent="0.3">
      <c r="B52" s="182" t="s">
        <v>44</v>
      </c>
      <c r="C52" s="20"/>
      <c r="D52" s="20"/>
      <c r="E52" s="1">
        <f>ROUND(H14,2)</f>
        <v>0.89</v>
      </c>
      <c r="F52" s="43">
        <f>ROUND(L26,4)</f>
        <v>7.6E-3</v>
      </c>
      <c r="G52" s="184">
        <f>ROUND(L27,0)</f>
        <v>131</v>
      </c>
      <c r="H52" s="185"/>
      <c r="I52" s="90"/>
      <c r="J52" s="186" t="s">
        <v>44</v>
      </c>
      <c r="K52" s="187" t="str">
        <f>ROUND(J21,4)*100&amp;J54</f>
        <v>47,25%</v>
      </c>
      <c r="L52" s="187" t="str">
        <f>ROUND(K21,4)*100&amp;J54</f>
        <v>45,58%</v>
      </c>
      <c r="M52" s="187" t="str">
        <f>ROUND(L21,4)*100&amp;J54</f>
        <v>48,91%</v>
      </c>
      <c r="N52" s="72" t="str">
        <f>CONCATENATE(K52," ",J51,L52," ",J55," ",M52,J53)</f>
        <v>47,25% (45,58% a 48,91%)</v>
      </c>
      <c r="O52" s="119"/>
      <c r="P52" s="5"/>
      <c r="V52" s="5"/>
      <c r="W52" s="5"/>
    </row>
    <row r="53" spans="2:23" s="12" customFormat="1" ht="12.75" hidden="1" customHeight="1" x14ac:dyDescent="0.3">
      <c r="B53" s="182" t="s">
        <v>43</v>
      </c>
      <c r="C53" s="183">
        <f>ROUND(D7,0)</f>
        <v>1630</v>
      </c>
      <c r="D53" s="183">
        <f>ROUND(D8,0)</f>
        <v>1745</v>
      </c>
      <c r="E53" s="1">
        <f>ROUND(I14,2)</f>
        <v>0.98</v>
      </c>
      <c r="F53" s="43">
        <f>ROUND(K26,4)</f>
        <v>5.4699999999999999E-2</v>
      </c>
      <c r="G53" s="184">
        <f>ROUND(K27,0)</f>
        <v>18</v>
      </c>
      <c r="H53" s="188">
        <f>ROUND(N32,4)</f>
        <v>0.73580000000000001</v>
      </c>
      <c r="I53" s="105"/>
      <c r="J53" s="186" t="s">
        <v>43</v>
      </c>
      <c r="K53" s="61" t="str">
        <f>ROUND(J22,4)*100&amp;J54</f>
        <v>50,36%</v>
      </c>
      <c r="L53" s="61" t="str">
        <f>ROUND(K22,4)*100&amp;J54</f>
        <v>48,7%</v>
      </c>
      <c r="M53" s="61" t="str">
        <f>ROUND(L22,4)*100&amp;J54</f>
        <v>52,02%</v>
      </c>
      <c r="N53" s="72" t="str">
        <f>CONCATENATE(K53," ",J51,L53," ",J55," ",M53,J53)</f>
        <v>50,36% (48,7% a 52,02%)</v>
      </c>
      <c r="O53" s="77"/>
    </row>
    <row r="54" spans="2:23" ht="12.75" hidden="1" customHeight="1" x14ac:dyDescent="0.3">
      <c r="B54" s="182" t="s">
        <v>45</v>
      </c>
      <c r="C54" s="189" t="s">
        <v>52</v>
      </c>
      <c r="D54" s="189" t="s">
        <v>53</v>
      </c>
      <c r="E54" s="189" t="s">
        <v>4</v>
      </c>
      <c r="F54" s="189" t="s">
        <v>48</v>
      </c>
      <c r="G54" s="190" t="s">
        <v>46</v>
      </c>
      <c r="H54" s="157" t="s">
        <v>49</v>
      </c>
      <c r="I54" s="90"/>
      <c r="J54" s="186" t="s">
        <v>45</v>
      </c>
      <c r="K54" s="61" t="str">
        <f>ROUND(J23,4)*100&amp;J54</f>
        <v>48,81%</v>
      </c>
      <c r="L54" s="61" t="str">
        <f>ROUND(K23,4)*100&amp;J54</f>
        <v>47,63%</v>
      </c>
      <c r="M54" s="61" t="str">
        <f>ROUND(L23,4)*100&amp;J54</f>
        <v>49,99%</v>
      </c>
      <c r="N54" s="72" t="str">
        <f>CONCATENATE(K54," ",J51,L54," ",J55," ",M54,J53)</f>
        <v>48,81% (47,63% a 49,99%)</v>
      </c>
      <c r="O54" s="77"/>
    </row>
    <row r="55" spans="2:23" ht="12.75" hidden="1" customHeight="1" x14ac:dyDescent="0.3">
      <c r="B55" s="191" t="s">
        <v>19</v>
      </c>
      <c r="C55" s="192" t="str">
        <f>CONCATENATE(C53,B56,C21," ",B51,K52,B53)</f>
        <v>1630/3450 (47,25%)</v>
      </c>
      <c r="D55" s="85" t="str">
        <f>CONCATENATE(D53,B56,C22," ",B51,K53,B53)</f>
        <v>1745/3465 (50,36%)</v>
      </c>
      <c r="E55" s="192" t="str">
        <f>CONCATENATE(E51," ",B51,E52,B52,E53,B53)</f>
        <v>0,94 (0,89-0,98)</v>
      </c>
      <c r="F55" s="192" t="str">
        <f>CONCATENATE(F51*100,B54," ",B51,F52*100,B54," ",B55," ",F53*100,B54,B53)</f>
        <v>3,11% (0,76% a 5,47%)</v>
      </c>
      <c r="G55" s="157" t="str">
        <f>CONCATENATE(G51," ",B51,G53," ",B55," ",G52,B53)</f>
        <v>32 (18 a 131)</v>
      </c>
      <c r="H55" s="157" t="str">
        <f>CONCATENATE(H53*100,B54)</f>
        <v>73,58%</v>
      </c>
      <c r="I55" s="90"/>
      <c r="J55" s="193" t="s">
        <v>19</v>
      </c>
      <c r="K55" s="20"/>
      <c r="L55" s="20"/>
      <c r="M55" s="20"/>
      <c r="N55" s="89"/>
      <c r="O55" s="119"/>
      <c r="P55" s="5"/>
      <c r="V55" s="5"/>
      <c r="W55" s="5"/>
    </row>
    <row r="56" spans="2:23" ht="13.5" hidden="1" customHeight="1" x14ac:dyDescent="0.3">
      <c r="B56" s="194" t="s">
        <v>47</v>
      </c>
      <c r="C56" s="134"/>
      <c r="D56" s="134"/>
      <c r="E56" s="134"/>
      <c r="F56" s="134"/>
      <c r="G56" s="195"/>
      <c r="H56" s="196"/>
      <c r="I56" s="90"/>
      <c r="J56" s="197" t="s">
        <v>47</v>
      </c>
      <c r="K56" s="134"/>
      <c r="L56" s="134"/>
      <c r="M56" s="134"/>
      <c r="N56" s="198"/>
      <c r="O56" s="132"/>
      <c r="P56" s="5"/>
      <c r="V56" s="5"/>
      <c r="W56" s="5"/>
    </row>
    <row r="57" spans="2:23" hidden="1" x14ac:dyDescent="0.3">
      <c r="B57" s="71"/>
      <c r="G57" s="90"/>
      <c r="H57" s="90"/>
      <c r="I57" s="90"/>
      <c r="J57" s="90"/>
      <c r="K57" s="90"/>
      <c r="L57" s="94"/>
      <c r="M57" s="90"/>
      <c r="N57" s="90"/>
      <c r="O57" s="5"/>
      <c r="P57" s="5"/>
      <c r="V57" s="5"/>
      <c r="W57" s="5"/>
    </row>
    <row r="58" spans="2:23" ht="27" customHeight="1" x14ac:dyDescent="0.3">
      <c r="B58" s="71"/>
      <c r="C58" s="199" t="s">
        <v>52</v>
      </c>
      <c r="D58" s="199" t="s">
        <v>53</v>
      </c>
      <c r="E58" s="200" t="str">
        <f>CONCATENATE(E54," ",B51,H2," ",B50,B54,B53)</f>
        <v>RR (IC 95%)</v>
      </c>
      <c r="F58" s="200" t="str">
        <f>CONCATENATE(F54," ",B51,H2," ",B50,B54,B53)</f>
        <v>RAR (IC 95%)</v>
      </c>
      <c r="G58" s="200" t="str">
        <f>CONCATENATE(G54," ",B51,H2," ",B50,B54,B53)</f>
        <v>NNT (IC 95%)</v>
      </c>
      <c r="H58" s="200" t="s">
        <v>50</v>
      </c>
      <c r="I58" s="201"/>
      <c r="J58" s="200" t="s">
        <v>57</v>
      </c>
      <c r="L58" s="205" t="s">
        <v>95</v>
      </c>
      <c r="M58" s="205" t="s">
        <v>96</v>
      </c>
      <c r="O58" s="5"/>
      <c r="P58" s="5"/>
      <c r="V58" s="5"/>
      <c r="W58" s="5"/>
    </row>
    <row r="59" spans="2:23" ht="21" customHeight="1" x14ac:dyDescent="0.3">
      <c r="B59" s="71"/>
      <c r="C59" s="85" t="str">
        <f t="shared" ref="C59:H59" si="5">C55</f>
        <v>1630/3450 (47,25%)</v>
      </c>
      <c r="D59" s="85" t="str">
        <f t="shared" si="5"/>
        <v>1745/3465 (50,36%)</v>
      </c>
      <c r="E59" s="85" t="str">
        <f t="shared" si="5"/>
        <v>0,94 (0,89-0,98)</v>
      </c>
      <c r="F59" s="85" t="str">
        <f t="shared" si="5"/>
        <v>3,11% (0,76% a 5,47%)</v>
      </c>
      <c r="G59" s="85" t="str">
        <f t="shared" si="5"/>
        <v>32 (18 a 131)</v>
      </c>
      <c r="H59" s="85" t="str">
        <f t="shared" si="5"/>
        <v>73,58%</v>
      </c>
      <c r="I59" s="202"/>
      <c r="J59" s="203">
        <f>C46</f>
        <v>9.5826913896908689E-3</v>
      </c>
      <c r="L59" s="204">
        <f>IF((K26*L26&lt;0),J23,J21)</f>
        <v>0.47246376811594204</v>
      </c>
      <c r="M59" s="204">
        <f>IF((K26*L26&lt;0),J23,J22)</f>
        <v>0.50360750360750361</v>
      </c>
      <c r="O59" s="5"/>
      <c r="P59" s="5"/>
      <c r="V59" s="5"/>
      <c r="W59" s="5"/>
    </row>
    <row r="60" spans="2:23" x14ac:dyDescent="0.3">
      <c r="L60" s="4"/>
    </row>
    <row r="61" spans="2:23" x14ac:dyDescent="0.3">
      <c r="B61" s="255" t="s">
        <v>112</v>
      </c>
      <c r="L61" s="4"/>
    </row>
    <row r="62" spans="2:23" ht="16" thickBot="1" x14ac:dyDescent="0.4">
      <c r="B62" s="254" t="s">
        <v>113</v>
      </c>
      <c r="C62" s="4"/>
      <c r="D62" s="4"/>
      <c r="E62" s="4"/>
      <c r="F62" s="4"/>
      <c r="G62" s="4"/>
      <c r="H62" s="4"/>
      <c r="I62" s="4"/>
      <c r="J62" s="4"/>
      <c r="K62" s="62"/>
      <c r="L62" s="4"/>
      <c r="M62" s="4"/>
      <c r="N62" s="4"/>
      <c r="O62" s="4"/>
    </row>
    <row r="63" spans="2:23" ht="50" customHeight="1" thickBot="1" x14ac:dyDescent="0.35">
      <c r="B63" s="302" t="s">
        <v>114</v>
      </c>
      <c r="C63" s="303"/>
      <c r="D63" s="303"/>
      <c r="E63" s="303"/>
      <c r="F63" s="304"/>
    </row>
    <row r="64" spans="2:23" ht="28" customHeight="1" thickBot="1" x14ac:dyDescent="0.35">
      <c r="B64" s="305" t="s">
        <v>115</v>
      </c>
      <c r="C64" s="307" t="s">
        <v>116</v>
      </c>
      <c r="D64" s="299" t="s">
        <v>216</v>
      </c>
      <c r="E64" s="300"/>
      <c r="F64" s="301"/>
    </row>
    <row r="65" spans="2:8" ht="47" customHeight="1" thickBot="1" x14ac:dyDescent="0.35">
      <c r="B65" s="306"/>
      <c r="C65" s="308"/>
      <c r="D65" s="266" t="s">
        <v>217</v>
      </c>
      <c r="E65" s="267" t="s">
        <v>218</v>
      </c>
      <c r="F65" s="265" t="s">
        <v>212</v>
      </c>
    </row>
    <row r="66" spans="2:8" ht="18" customHeight="1" thickBot="1" x14ac:dyDescent="0.35">
      <c r="B66" s="270" t="s">
        <v>117</v>
      </c>
      <c r="C66" s="271"/>
      <c r="D66" s="271"/>
      <c r="E66" s="271"/>
      <c r="F66" s="20"/>
    </row>
    <row r="67" spans="2:8" ht="18" customHeight="1" x14ac:dyDescent="0.3">
      <c r="B67" s="272" t="s">
        <v>118</v>
      </c>
      <c r="C67" s="278" t="s">
        <v>119</v>
      </c>
      <c r="D67" s="279" t="s">
        <v>120</v>
      </c>
      <c r="E67" s="273" t="s">
        <v>121</v>
      </c>
      <c r="F67" s="277">
        <v>9.5826913896908689E-3</v>
      </c>
    </row>
    <row r="68" spans="2:8" ht="18" customHeight="1" thickBot="1" x14ac:dyDescent="0.35">
      <c r="B68" s="261" t="s">
        <v>122</v>
      </c>
      <c r="C68" s="268" t="s">
        <v>123</v>
      </c>
      <c r="D68" s="269" t="s">
        <v>124</v>
      </c>
      <c r="E68" s="262" t="s">
        <v>125</v>
      </c>
      <c r="F68" s="280">
        <v>0.21016309868460081</v>
      </c>
    </row>
    <row r="69" spans="2:8" ht="18" customHeight="1" thickBot="1" x14ac:dyDescent="0.35">
      <c r="B69" s="270" t="s">
        <v>126</v>
      </c>
      <c r="C69" s="271"/>
      <c r="D69" s="271"/>
      <c r="E69" s="271"/>
      <c r="F69" s="281"/>
    </row>
    <row r="70" spans="2:8" ht="18" customHeight="1" x14ac:dyDescent="0.3">
      <c r="B70" s="272" t="s">
        <v>127</v>
      </c>
      <c r="C70" s="273" t="s">
        <v>128</v>
      </c>
      <c r="D70" s="273" t="s">
        <v>44</v>
      </c>
      <c r="E70" s="273" t="s">
        <v>44</v>
      </c>
      <c r="F70" s="277"/>
    </row>
    <row r="71" spans="2:8" ht="18" customHeight="1" x14ac:dyDescent="0.3">
      <c r="B71" s="256" t="s">
        <v>129</v>
      </c>
      <c r="C71" s="257" t="s">
        <v>130</v>
      </c>
      <c r="D71" s="257" t="s">
        <v>131</v>
      </c>
      <c r="E71" s="257" t="s">
        <v>132</v>
      </c>
      <c r="F71" s="282">
        <v>0.29007030829489583</v>
      </c>
    </row>
    <row r="72" spans="2:8" ht="18" customHeight="1" thickBot="1" x14ac:dyDescent="0.35">
      <c r="B72" s="275" t="s">
        <v>133</v>
      </c>
      <c r="C72" s="262" t="s">
        <v>134</v>
      </c>
      <c r="D72" s="262" t="s">
        <v>135</v>
      </c>
      <c r="E72" s="276" t="s">
        <v>136</v>
      </c>
      <c r="F72" s="280" t="s">
        <v>213</v>
      </c>
      <c r="H72" s="283"/>
    </row>
    <row r="73" spans="2:8" ht="18" customHeight="1" thickBot="1" x14ac:dyDescent="0.35">
      <c r="B73" s="270" t="s">
        <v>137</v>
      </c>
      <c r="C73" s="271"/>
      <c r="D73" s="271"/>
      <c r="E73" s="271"/>
      <c r="F73" s="281"/>
    </row>
    <row r="74" spans="2:8" ht="18" customHeight="1" x14ac:dyDescent="0.3">
      <c r="B74" s="272" t="s">
        <v>138</v>
      </c>
      <c r="C74" s="273" t="s">
        <v>139</v>
      </c>
      <c r="D74" s="273" t="s">
        <v>140</v>
      </c>
      <c r="E74" s="273" t="s">
        <v>141</v>
      </c>
      <c r="F74" s="277" t="s">
        <v>213</v>
      </c>
    </row>
    <row r="75" spans="2:8" ht="18" customHeight="1" thickBot="1" x14ac:dyDescent="0.35">
      <c r="B75" s="261" t="s">
        <v>142</v>
      </c>
      <c r="C75" s="262" t="s">
        <v>143</v>
      </c>
      <c r="D75" s="262" t="s">
        <v>144</v>
      </c>
      <c r="E75" s="276" t="s">
        <v>145</v>
      </c>
      <c r="F75" s="280" t="s">
        <v>213</v>
      </c>
    </row>
    <row r="76" spans="2:8" ht="18" customHeight="1" thickBot="1" x14ac:dyDescent="0.35">
      <c r="B76" s="270" t="s">
        <v>146</v>
      </c>
      <c r="C76" s="271"/>
      <c r="D76" s="271"/>
      <c r="E76" s="271"/>
      <c r="F76" s="281"/>
    </row>
    <row r="77" spans="2:8" ht="18" customHeight="1" x14ac:dyDescent="0.3">
      <c r="B77" s="272" t="s">
        <v>147</v>
      </c>
      <c r="C77" s="273" t="s">
        <v>148</v>
      </c>
      <c r="D77" s="273" t="s">
        <v>149</v>
      </c>
      <c r="E77" s="273" t="s">
        <v>150</v>
      </c>
      <c r="F77" s="277">
        <v>3.5233294293827808E-2</v>
      </c>
    </row>
    <row r="78" spans="2:8" ht="18" customHeight="1" x14ac:dyDescent="0.3">
      <c r="B78" s="259">
        <v>1</v>
      </c>
      <c r="C78" s="257" t="s">
        <v>151</v>
      </c>
      <c r="D78" s="257" t="s">
        <v>152</v>
      </c>
      <c r="E78" s="257" t="s">
        <v>153</v>
      </c>
      <c r="F78" s="282">
        <v>6.376296011454248E-5</v>
      </c>
    </row>
    <row r="79" spans="2:8" ht="18" customHeight="1" x14ac:dyDescent="0.3">
      <c r="B79" s="259">
        <v>2</v>
      </c>
      <c r="C79" s="257" t="s">
        <v>154</v>
      </c>
      <c r="D79" s="257" t="s">
        <v>155</v>
      </c>
      <c r="E79" s="258" t="s">
        <v>156</v>
      </c>
      <c r="F79" s="282">
        <v>2.3049664357101974E-3</v>
      </c>
    </row>
    <row r="80" spans="2:8" ht="18" customHeight="1" thickBot="1" x14ac:dyDescent="0.35">
      <c r="B80" s="275" t="s">
        <v>157</v>
      </c>
      <c r="C80" s="262" t="s">
        <v>158</v>
      </c>
      <c r="D80" s="262" t="s">
        <v>159</v>
      </c>
      <c r="E80" s="276" t="s">
        <v>160</v>
      </c>
      <c r="F80" s="280">
        <v>2.535205007855044E-4</v>
      </c>
    </row>
    <row r="81" spans="2:23" ht="18" customHeight="1" thickBot="1" x14ac:dyDescent="0.35">
      <c r="B81" s="270" t="s">
        <v>161</v>
      </c>
      <c r="C81" s="271"/>
      <c r="D81" s="271"/>
      <c r="E81" s="271"/>
      <c r="F81" s="281"/>
    </row>
    <row r="82" spans="2:23" ht="18" customHeight="1" x14ac:dyDescent="0.3">
      <c r="B82" s="272" t="s">
        <v>162</v>
      </c>
      <c r="C82" s="273" t="s">
        <v>163</v>
      </c>
      <c r="D82" s="273" t="s">
        <v>164</v>
      </c>
      <c r="E82" s="274" t="s">
        <v>165</v>
      </c>
      <c r="F82" s="277">
        <v>4.5279454031789907E-11</v>
      </c>
    </row>
    <row r="83" spans="2:23" ht="18" customHeight="1" x14ac:dyDescent="0.3">
      <c r="B83" s="256" t="s">
        <v>166</v>
      </c>
      <c r="C83" s="257" t="s">
        <v>167</v>
      </c>
      <c r="D83" s="257" t="s">
        <v>168</v>
      </c>
      <c r="E83" s="257" t="s">
        <v>169</v>
      </c>
      <c r="F83" s="282">
        <v>0.45482582378244846</v>
      </c>
    </row>
    <row r="84" spans="2:23" ht="18" customHeight="1" x14ac:dyDescent="0.3">
      <c r="B84" s="256" t="s">
        <v>170</v>
      </c>
      <c r="C84" s="257" t="s">
        <v>171</v>
      </c>
      <c r="D84" s="257" t="s">
        <v>172</v>
      </c>
      <c r="E84" s="257" t="s">
        <v>173</v>
      </c>
      <c r="F84" s="282" t="s">
        <v>213</v>
      </c>
    </row>
    <row r="85" spans="2:23" ht="18" customHeight="1" x14ac:dyDescent="0.3">
      <c r="B85" s="256" t="s">
        <v>174</v>
      </c>
      <c r="C85" s="257" t="s">
        <v>175</v>
      </c>
      <c r="D85" s="257" t="s">
        <v>155</v>
      </c>
      <c r="E85" s="258" t="s">
        <v>176</v>
      </c>
      <c r="F85" s="282" t="s">
        <v>213</v>
      </c>
    </row>
    <row r="86" spans="2:23" ht="18" customHeight="1" x14ac:dyDescent="0.3">
      <c r="B86" s="256" t="s">
        <v>177</v>
      </c>
      <c r="C86" s="257" t="s">
        <v>178</v>
      </c>
      <c r="D86" s="257" t="s">
        <v>179</v>
      </c>
      <c r="E86" s="257" t="s">
        <v>180</v>
      </c>
      <c r="F86" s="282">
        <v>0.81154824072330645</v>
      </c>
    </row>
    <row r="87" spans="2:23" ht="18" customHeight="1" x14ac:dyDescent="0.3">
      <c r="B87" s="260" t="s">
        <v>181</v>
      </c>
      <c r="C87" s="257" t="s">
        <v>182</v>
      </c>
      <c r="D87" s="258" t="s">
        <v>183</v>
      </c>
      <c r="E87" s="257" t="s">
        <v>184</v>
      </c>
      <c r="F87" s="282">
        <v>0.53313138810205019</v>
      </c>
    </row>
    <row r="88" spans="2:23" ht="18" customHeight="1" x14ac:dyDescent="0.3">
      <c r="B88" s="256" t="s">
        <v>185</v>
      </c>
      <c r="C88" s="257" t="s">
        <v>186</v>
      </c>
      <c r="D88" s="257" t="s">
        <v>187</v>
      </c>
      <c r="E88" s="257" t="s">
        <v>188</v>
      </c>
      <c r="F88" s="282">
        <v>7.2157721536878577E-2</v>
      </c>
    </row>
    <row r="89" spans="2:23" ht="18" customHeight="1" thickBot="1" x14ac:dyDescent="0.35">
      <c r="B89" s="261" t="s">
        <v>189</v>
      </c>
      <c r="C89" s="262" t="s">
        <v>190</v>
      </c>
      <c r="D89" s="262" t="s">
        <v>191</v>
      </c>
      <c r="E89" s="262" t="s">
        <v>192</v>
      </c>
      <c r="F89" s="280">
        <v>0.47105996073612966</v>
      </c>
    </row>
    <row r="90" spans="2:23" ht="18" customHeight="1" thickBot="1" x14ac:dyDescent="0.35">
      <c r="B90" s="270" t="s">
        <v>193</v>
      </c>
      <c r="C90" s="271"/>
      <c r="D90" s="271"/>
      <c r="E90" s="271"/>
      <c r="F90" s="281"/>
    </row>
    <row r="91" spans="2:23" ht="18" customHeight="1" x14ac:dyDescent="0.3">
      <c r="B91" s="272" t="s">
        <v>194</v>
      </c>
      <c r="C91" s="273" t="s">
        <v>195</v>
      </c>
      <c r="D91" s="273" t="s">
        <v>196</v>
      </c>
      <c r="E91" s="274" t="s">
        <v>197</v>
      </c>
      <c r="F91" s="277">
        <v>9.1029223433442019E-4</v>
      </c>
    </row>
    <row r="92" spans="2:23" ht="18" customHeight="1" x14ac:dyDescent="0.3">
      <c r="B92" s="256" t="s">
        <v>198</v>
      </c>
      <c r="C92" s="257" t="s">
        <v>199</v>
      </c>
      <c r="D92" s="257" t="s">
        <v>200</v>
      </c>
      <c r="E92" s="258" t="s">
        <v>201</v>
      </c>
      <c r="F92" s="282" t="s">
        <v>213</v>
      </c>
    </row>
    <row r="93" spans="2:23" ht="18" customHeight="1" x14ac:dyDescent="0.3">
      <c r="B93" s="256" t="s">
        <v>202</v>
      </c>
      <c r="C93" s="257" t="s">
        <v>203</v>
      </c>
      <c r="D93" s="257" t="s">
        <v>204</v>
      </c>
      <c r="E93" s="258" t="s">
        <v>205</v>
      </c>
      <c r="F93" s="282" t="s">
        <v>213</v>
      </c>
    </row>
    <row r="94" spans="2:23" ht="18" customHeight="1" thickBot="1" x14ac:dyDescent="0.35">
      <c r="B94" s="261" t="s">
        <v>206</v>
      </c>
      <c r="C94" s="262" t="s">
        <v>207</v>
      </c>
      <c r="D94" s="262" t="s">
        <v>208</v>
      </c>
      <c r="E94" s="262" t="s">
        <v>209</v>
      </c>
      <c r="F94" s="280">
        <v>0.45428865912197997</v>
      </c>
    </row>
    <row r="95" spans="2:23" ht="14.5" x14ac:dyDescent="0.3">
      <c r="B95" s="263"/>
      <c r="C95" s="264"/>
      <c r="D95" s="264"/>
      <c r="E95" s="264"/>
    </row>
    <row r="96" spans="2:23" s="284" customFormat="1" ht="31" customHeight="1" x14ac:dyDescent="0.3">
      <c r="B96" s="309" t="s">
        <v>210</v>
      </c>
      <c r="C96" s="310"/>
      <c r="D96" s="310"/>
      <c r="E96" s="310"/>
      <c r="F96" s="310"/>
      <c r="O96" s="241"/>
      <c r="P96" s="241"/>
      <c r="V96" s="241"/>
      <c r="W96" s="241"/>
    </row>
    <row r="97" spans="2:23" s="284" customFormat="1" ht="30" customHeight="1" x14ac:dyDescent="0.3">
      <c r="B97" s="311" t="s">
        <v>211</v>
      </c>
      <c r="C97" s="311"/>
      <c r="D97" s="311"/>
      <c r="E97" s="311"/>
      <c r="F97" s="311"/>
      <c r="O97" s="241"/>
      <c r="P97" s="241"/>
      <c r="V97" s="241"/>
      <c r="W97" s="241"/>
    </row>
    <row r="99" spans="2:23" ht="33.5" customHeight="1" x14ac:dyDescent="0.3">
      <c r="B99" s="285" t="s">
        <v>215</v>
      </c>
      <c r="C99" s="286"/>
      <c r="D99" s="286"/>
      <c r="E99" s="286"/>
      <c r="F99" s="287"/>
    </row>
    <row r="100" spans="2:23" ht="24" customHeight="1" x14ac:dyDescent="0.3">
      <c r="B100" s="288" t="s">
        <v>214</v>
      </c>
      <c r="C100" s="289"/>
      <c r="D100" s="289"/>
      <c r="E100" s="289"/>
      <c r="F100" s="290"/>
    </row>
  </sheetData>
  <mergeCells count="11">
    <mergeCell ref="B99:F99"/>
    <mergeCell ref="B100:F100"/>
    <mergeCell ref="B2:F2"/>
    <mergeCell ref="B3:F3"/>
    <mergeCell ref="C41:D41"/>
    <mergeCell ref="D64:F64"/>
    <mergeCell ref="B63:F63"/>
    <mergeCell ref="B64:B65"/>
    <mergeCell ref="C64:C65"/>
    <mergeCell ref="B96:F96"/>
    <mergeCell ref="B97:F97"/>
  </mergeCells>
  <phoneticPr fontId="2" type="noConversion"/>
  <pageMargins left="0.17" right="0.17" top="0.21" bottom="0.7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 Acumul</vt:lpstr>
    </vt:vector>
  </TitlesOfParts>
  <Company>Dark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gasanchez</dc:creator>
  <cp:lastModifiedBy>GALO AGUSTIN SANCHEZ ROBLES</cp:lastModifiedBy>
  <cp:lastPrinted>2012-06-13T14:26:24Z</cp:lastPrinted>
  <dcterms:created xsi:type="dcterms:W3CDTF">2009-05-28T14:19:22Z</dcterms:created>
  <dcterms:modified xsi:type="dcterms:W3CDTF">2026-04-24T12:01:18Z</dcterms:modified>
</cp:coreProperties>
</file>