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41208-Galo\0-Datos\40-Metodol\00-Hojas cálc con ayuda\0-ABC tSLEv, PtSLEv\Calculadora ABC PtSLEv\"/>
    </mc:Choice>
  </mc:AlternateContent>
  <xr:revisionPtr revIDLastSave="0" documentId="13_ncr:1_{08F72170-63CD-4529-86E7-60521872EEFE}" xr6:coauthVersionLast="36" xr6:coauthVersionMax="47" xr10:uidLastSave="{00000000-0000-0000-0000-000000000000}"/>
  <bookViews>
    <workbookView xWindow="-110" yWindow="-110" windowWidth="19420" windowHeight="10420" tabRatio="642" xr2:uid="{00000000-000D-0000-FFFF-FFFF00000000}"/>
  </bookViews>
  <sheets>
    <sheet name="IncAcum" sheetId="14" r:id="rId1"/>
    <sheet name="Gr1, 3tB x 3dNNT" sheetId="15" r:id="rId2"/>
    <sheet name="desde RR de MA" sheetId="12" r:id="rId3"/>
    <sheet name="Gr2, 3tB x 3dNNT" sheetId="13" r:id="rId4"/>
    <sheet name="ABC func riesgo, asumida lineal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4" l="1"/>
  <c r="E25" i="15" l="1"/>
  <c r="E26" i="15" s="1"/>
  <c r="D25" i="15"/>
  <c r="D26" i="15" s="1"/>
  <c r="E11" i="15"/>
  <c r="D10" i="15"/>
  <c r="E9" i="15"/>
  <c r="E12" i="15" s="1"/>
  <c r="D9" i="15"/>
  <c r="C7" i="15" s="1"/>
  <c r="E8" i="15"/>
  <c r="D8" i="15"/>
  <c r="F7" i="15"/>
  <c r="E7" i="15"/>
  <c r="D7" i="15"/>
  <c r="C6" i="15"/>
  <c r="G15" i="15" s="1"/>
  <c r="F2" i="15"/>
  <c r="B1" i="15"/>
  <c r="V62" i="14"/>
  <c r="D56" i="14"/>
  <c r="C56" i="14"/>
  <c r="B53" i="14"/>
  <c r="G61" i="14" s="1"/>
  <c r="E41" i="14"/>
  <c r="E40" i="14"/>
  <c r="I23" i="14"/>
  <c r="I22" i="14"/>
  <c r="C22" i="14"/>
  <c r="B22" i="14"/>
  <c r="I21" i="14"/>
  <c r="C21" i="14"/>
  <c r="B21" i="14"/>
  <c r="T14" i="14"/>
  <c r="P14" i="14"/>
  <c r="O14" i="14"/>
  <c r="S14" i="14" s="1"/>
  <c r="G14" i="14"/>
  <c r="E54" i="14" s="1"/>
  <c r="D14" i="14"/>
  <c r="C14" i="14"/>
  <c r="B14" i="14"/>
  <c r="F9" i="14"/>
  <c r="C23" i="14" s="1"/>
  <c r="E9" i="14"/>
  <c r="D9" i="14"/>
  <c r="B23" i="14" s="1"/>
  <c r="G8" i="14"/>
  <c r="I8" i="14" s="1"/>
  <c r="O8" i="14" s="1"/>
  <c r="G7" i="14"/>
  <c r="I7" i="14" s="1"/>
  <c r="S5" i="14"/>
  <c r="S6" i="14" l="1"/>
  <c r="G23" i="14"/>
  <c r="D12" i="15"/>
  <c r="C26" i="15"/>
  <c r="N21" i="14"/>
  <c r="D40" i="14"/>
  <c r="D45" i="14" s="1"/>
  <c r="D22" i="14"/>
  <c r="F22" i="14" s="1"/>
  <c r="G21" i="14"/>
  <c r="G9" i="14"/>
  <c r="E42" i="14"/>
  <c r="E61" i="14"/>
  <c r="D41" i="14"/>
  <c r="D46" i="14" s="1"/>
  <c r="G22" i="14"/>
  <c r="N23" i="14"/>
  <c r="C41" i="14"/>
  <c r="C46" i="14" s="1"/>
  <c r="E21" i="14"/>
  <c r="C40" i="14"/>
  <c r="D21" i="14"/>
  <c r="F14" i="14"/>
  <c r="I14" i="14" s="1"/>
  <c r="M14" i="14" s="1"/>
  <c r="E22" i="14"/>
  <c r="T62" i="14"/>
  <c r="I9" i="14"/>
  <c r="O9" i="14" s="1"/>
  <c r="O7" i="14"/>
  <c r="J22" i="14"/>
  <c r="K56" i="14" s="1"/>
  <c r="D58" i="14" s="1"/>
  <c r="D62" i="14" s="1"/>
  <c r="E23" i="14"/>
  <c r="D23" i="14"/>
  <c r="E14" i="14"/>
  <c r="H14" i="14" s="1"/>
  <c r="K14" i="14"/>
  <c r="R14" i="14"/>
  <c r="S7" i="14" s="1"/>
  <c r="F61" i="14"/>
  <c r="L22" i="14" l="1"/>
  <c r="M56" i="14" s="1"/>
  <c r="W21" i="14"/>
  <c r="J21" i="14"/>
  <c r="K55" i="14" s="1"/>
  <c r="C58" i="14" s="1"/>
  <c r="C62" i="14" s="1"/>
  <c r="D42" i="14"/>
  <c r="F21" i="14"/>
  <c r="K22" i="14"/>
  <c r="L56" i="14" s="1"/>
  <c r="E56" i="14"/>
  <c r="J26" i="14"/>
  <c r="J27" i="14" s="1"/>
  <c r="C42" i="14"/>
  <c r="C45" i="14"/>
  <c r="C48" i="14" s="1"/>
  <c r="K41" i="14"/>
  <c r="I40" i="14" s="1"/>
  <c r="W22" i="14"/>
  <c r="J23" i="14"/>
  <c r="K57" i="14" s="1"/>
  <c r="Q28" i="14"/>
  <c r="F23" i="14"/>
  <c r="L23" i="14" s="1"/>
  <c r="M57" i="14" s="1"/>
  <c r="S8" i="14"/>
  <c r="S62" i="14"/>
  <c r="V6" i="14"/>
  <c r="L14" i="14"/>
  <c r="E55" i="14"/>
  <c r="E58" i="14" l="1"/>
  <c r="E62" i="14" s="1"/>
  <c r="W23" i="14"/>
  <c r="W24" i="14" s="1"/>
  <c r="W25" i="14" s="1"/>
  <c r="N22" i="14"/>
  <c r="N24" i="14" s="1"/>
  <c r="N25" i="14" s="1"/>
  <c r="N26" i="14" s="1"/>
  <c r="F54" i="14"/>
  <c r="N56" i="14"/>
  <c r="N31" i="14"/>
  <c r="N32" i="14" s="1"/>
  <c r="H56" i="14" s="1"/>
  <c r="H58" i="14" s="1"/>
  <c r="H62" i="14" s="1"/>
  <c r="L21" i="14"/>
  <c r="K21" i="14"/>
  <c r="C49" i="14"/>
  <c r="J62" i="14" s="1"/>
  <c r="G46" i="14"/>
  <c r="R62" i="14"/>
  <c r="U62" i="14" s="1"/>
  <c r="V7" i="14"/>
  <c r="J36" i="14"/>
  <c r="J31" i="14"/>
  <c r="U3" i="14" s="1"/>
  <c r="J34" i="14"/>
  <c r="J29" i="14"/>
  <c r="G54" i="14"/>
  <c r="J37" i="14"/>
  <c r="J32" i="14"/>
  <c r="T3" i="14" s="1"/>
  <c r="J30" i="14"/>
  <c r="V3" i="14" s="1"/>
  <c r="J35" i="14"/>
  <c r="K23" i="14"/>
  <c r="L57" i="14" s="1"/>
  <c r="N57" i="14" s="1"/>
  <c r="N33" i="14" l="1"/>
  <c r="S3" i="14"/>
  <c r="L55" i="14"/>
  <c r="L26" i="14"/>
  <c r="M55" i="14"/>
  <c r="K26" i="14"/>
  <c r="V8" i="14"/>
  <c r="V9" i="14" s="1"/>
  <c r="S9" i="14"/>
  <c r="F55" i="14" l="1"/>
  <c r="L27" i="14"/>
  <c r="L32" i="14" s="1"/>
  <c r="N55" i="14"/>
  <c r="K27" i="14"/>
  <c r="F56" i="14"/>
  <c r="M62" i="14"/>
  <c r="P62" i="14" s="1"/>
  <c r="L62" i="14"/>
  <c r="O62" i="14" s="1"/>
  <c r="T6" i="14"/>
  <c r="T7" i="14"/>
  <c r="T8" i="14"/>
  <c r="K35" i="14" l="1"/>
  <c r="K32" i="14"/>
  <c r="G56" i="14"/>
  <c r="L36" i="14"/>
  <c r="K29" i="14"/>
  <c r="K30" i="14"/>
  <c r="K31" i="14"/>
  <c r="L35" i="14"/>
  <c r="L34" i="14"/>
  <c r="L37" i="14"/>
  <c r="L30" i="14"/>
  <c r="L29" i="14"/>
  <c r="G55" i="14"/>
  <c r="L31" i="14"/>
  <c r="K34" i="14"/>
  <c r="K36" i="14"/>
  <c r="K37" i="14"/>
  <c r="F58" i="14"/>
  <c r="F62" i="14" s="1"/>
  <c r="G58" i="14" l="1"/>
  <c r="G62" i="14" s="1"/>
  <c r="D25" i="13" l="1"/>
  <c r="E25" i="13" s="1"/>
  <c r="F7" i="13"/>
  <c r="D7" i="13"/>
  <c r="C6" i="13"/>
  <c r="E11" i="13" s="1"/>
  <c r="B1" i="13"/>
  <c r="E8" i="13" s="1"/>
  <c r="X37" i="12"/>
  <c r="S20" i="12"/>
  <c r="E20" i="12"/>
  <c r="E19" i="12"/>
  <c r="D19" i="12"/>
  <c r="D22" i="12" s="1"/>
  <c r="D37" i="12" s="1"/>
  <c r="E18" i="12"/>
  <c r="F12" i="12"/>
  <c r="E14" i="12" s="1"/>
  <c r="F19" i="12" s="1"/>
  <c r="E12" i="12"/>
  <c r="F14" i="12" s="1"/>
  <c r="D12" i="12"/>
  <c r="C19" i="12" s="1"/>
  <c r="R5" i="12"/>
  <c r="E26" i="13" l="1"/>
  <c r="C26" i="13"/>
  <c r="D26" i="13"/>
  <c r="D9" i="13"/>
  <c r="G15" i="13"/>
  <c r="F2" i="13"/>
  <c r="D8" i="13"/>
  <c r="E9" i="13"/>
  <c r="D10" i="13"/>
  <c r="E22" i="12"/>
  <c r="E37" i="12" s="1"/>
  <c r="C22" i="12"/>
  <c r="C37" i="12" s="1"/>
  <c r="N20" i="12"/>
  <c r="F20" i="12"/>
  <c r="O37" i="12" s="1"/>
  <c r="R37" i="12" s="1"/>
  <c r="E15" i="12"/>
  <c r="D14" i="12"/>
  <c r="O20" i="12"/>
  <c r="F15" i="12"/>
  <c r="F28" i="12" s="1"/>
  <c r="E12" i="13" l="1"/>
  <c r="E7" i="13"/>
  <c r="D12" i="13"/>
  <c r="C7" i="13"/>
  <c r="N37" i="12"/>
  <c r="Q37" i="12" s="1"/>
  <c r="R20" i="12"/>
  <c r="Q20" i="12"/>
  <c r="F25" i="12"/>
  <c r="F31" i="12"/>
  <c r="F32" i="12"/>
  <c r="F27" i="12"/>
  <c r="F34" i="12"/>
  <c r="F26" i="12"/>
  <c r="F33" i="12"/>
  <c r="G20" i="12"/>
  <c r="F18" i="12"/>
  <c r="F22" i="12" s="1"/>
  <c r="F37" i="12" s="1"/>
  <c r="D15" i="12"/>
  <c r="D28" i="12" s="1"/>
  <c r="S3" i="12" s="1"/>
  <c r="E33" i="12"/>
  <c r="E31" i="12"/>
  <c r="E27" i="12"/>
  <c r="E25" i="12"/>
  <c r="E34" i="12"/>
  <c r="E26" i="12"/>
  <c r="G19" i="12"/>
  <c r="E28" i="12"/>
  <c r="E32" i="12"/>
  <c r="D26" i="12" l="1"/>
  <c r="U3" i="12" s="1"/>
  <c r="D33" i="12"/>
  <c r="D25" i="12"/>
  <c r="R3" i="12" s="1"/>
  <c r="D31" i="12"/>
  <c r="G18" i="12"/>
  <c r="G22" i="12" s="1"/>
  <c r="G37" i="12" s="1"/>
  <c r="D27" i="12"/>
  <c r="T3" i="12" s="1"/>
  <c r="D34" i="12"/>
  <c r="D32" i="12"/>
  <c r="U37" i="12"/>
  <c r="R7" i="12"/>
  <c r="P20" i="12"/>
  <c r="V37" i="12"/>
  <c r="R6" i="12"/>
  <c r="U6" i="12" l="1"/>
  <c r="U7" i="12"/>
  <c r="R8" i="12"/>
  <c r="T37" i="12"/>
  <c r="W37" i="12" s="1"/>
  <c r="U8" i="12" l="1"/>
  <c r="R9" i="12"/>
  <c r="U9" i="12" l="1"/>
  <c r="S6" i="12"/>
  <c r="S7" i="12"/>
  <c r="S8" i="12"/>
</calcChain>
</file>

<file path=xl/sharedStrings.xml><?xml version="1.0" encoding="utf-8"?>
<sst xmlns="http://schemas.openxmlformats.org/spreadsheetml/2006/main" count="442" uniqueCount="266">
  <si>
    <t>días</t>
  </si>
  <si>
    <t>Resto de t sin éxito</t>
  </si>
  <si>
    <t>tSLEv sin la intervención</t>
  </si>
  <si>
    <t>PtSLEv por la intervención</t>
  </si>
  <si>
    <t>de los</t>
  </si>
  <si>
    <t>del grupo Interv</t>
  </si>
  <si>
    <t>del grupo Contr</t>
  </si>
  <si>
    <t>NO</t>
  </si>
  <si>
    <t>puede representarse llegando los</t>
  </si>
  <si>
    <t>pacientes, a los</t>
  </si>
  <si>
    <t>, pues habría que recortar o ampliar los tiempos respectivos de uno o más pacientes "libres de evento" o "con evento"</t>
  </si>
  <si>
    <t>NNT</t>
  </si>
  <si>
    <t xml:space="preserve">NOTA: </t>
  </si>
  <si>
    <t>Placebo</t>
  </si>
  <si>
    <t>IC</t>
  </si>
  <si>
    <t>Enferman</t>
  </si>
  <si>
    <t>No enferman</t>
  </si>
  <si>
    <t>Con eventos</t>
  </si>
  <si>
    <t>Sin eventos</t>
  </si>
  <si>
    <t>Total</t>
  </si>
  <si>
    <r>
      <t xml:space="preserve">Los límites del intervalos de confianza son los exponentes neperianos o antilogaritmos de la ecuación [ ln RR + - Z </t>
    </r>
    <r>
      <rPr>
        <b/>
        <vertAlign val="subscript"/>
        <sz val="10"/>
        <rFont val="Calibri"/>
        <family val="2"/>
      </rPr>
      <t>α/2</t>
    </r>
    <r>
      <rPr>
        <b/>
        <sz val="10"/>
        <rFont val="Calibri"/>
        <family val="2"/>
      </rPr>
      <t xml:space="preserve"> * EE (ln RR) ]</t>
    </r>
  </si>
  <si>
    <t>EE del ln RR = Raíz (varianza del ln RR) = Raíz [b/ a(a+b)]+[d / c(c+d)]. También es igual a Raíz (1/a + 1/c - 1/a+b -1/c+d)</t>
  </si>
  <si>
    <t>ln RR</t>
  </si>
  <si>
    <t>EE del ln RR = Raíz (varianza del ln RR) = Raíz [b / a(a+b)]+[d/ c(c+d)]</t>
  </si>
  <si>
    <r>
      <t xml:space="preserve">Z </t>
    </r>
    <r>
      <rPr>
        <b/>
        <vertAlign val="subscript"/>
        <sz val="10"/>
        <rFont val="Calibri"/>
        <family val="2"/>
      </rPr>
      <t>α/2</t>
    </r>
  </si>
  <si>
    <t>ln del LI IC</t>
  </si>
  <si>
    <t>ln del LS IC</t>
  </si>
  <si>
    <t>RR</t>
  </si>
  <si>
    <t>LI del IC</t>
  </si>
  <si>
    <t>LS del IC</t>
  </si>
  <si>
    <t>RRR</t>
  </si>
  <si>
    <t>Límite inferior del IC</t>
  </si>
  <si>
    <t>Límite superior del IC</t>
  </si>
  <si>
    <r>
      <t xml:space="preserve">MÉTODO DE NEWCOMBE-WILSON: </t>
    </r>
    <r>
      <rPr>
        <sz val="10"/>
        <rFont val="Calibri"/>
        <family val="2"/>
      </rPr>
      <t>Que puede utilizarse sin necesidad de estar pendientes del tamaño del amuestra o de proporciones cuyo p &lt;5 / n. Por ello puede utilizarse para las excepciones anteriores y para todas todas</t>
    </r>
  </si>
  <si>
    <t>Para calcular el IC 95% se sigue la iteración de calcular tres valores, que denominamos A, B y C. Pues bien, el IC = (A+-B) / C; y sale directamente sin sumar ni restar a la estimación puntual. Se observará que los extremos tienen distinta extensión.</t>
  </si>
  <si>
    <t>Aunque es mejor calcularlo por ji^2 de Pearson, puede utilizarse una aproximación al cálculo de la "p de la diferencia"</t>
  </si>
  <si>
    <r>
      <t>p</t>
    </r>
    <r>
      <rPr>
        <sz val="10"/>
        <rFont val="Calibri"/>
        <family val="2"/>
      </rPr>
      <t xml:space="preserve"> = eventos / n</t>
    </r>
  </si>
  <si>
    <t>A= 2*eventos + z^2</t>
  </si>
  <si>
    <r>
      <t xml:space="preserve">B= z * Raíz [z^2 + 4*eventos (1 - </t>
    </r>
    <r>
      <rPr>
        <i/>
        <sz val="10"/>
        <rFont val="Calibri"/>
        <family val="2"/>
      </rPr>
      <t>p</t>
    </r>
    <r>
      <rPr>
        <sz val="10"/>
        <rFont val="Calibri"/>
        <family val="2"/>
      </rPr>
      <t xml:space="preserve">)] </t>
    </r>
  </si>
  <si>
    <t>C= 2(n+z^2)</t>
  </si>
  <si>
    <t>IC = (A+-B)/C</t>
  </si>
  <si>
    <t>Coinciden z^2 de una distribución normal tipificada (=&gt; muestras grandes) con ji^2 con un grado de libertad (EA, pág 254)</t>
  </si>
  <si>
    <t>eventos</t>
  </si>
  <si>
    <t>n (de muestra)</t>
  </si>
  <si>
    <t>p (proporción) = eventos / n</t>
  </si>
  <si>
    <t>Z α/2 (0,05)</t>
  </si>
  <si>
    <t>Proporción</t>
  </si>
  <si>
    <t>CÁLCULO DE LA POTENCIA:</t>
  </si>
  <si>
    <r>
      <t>Zβ = [Raíz (nd^2 /2</t>
    </r>
    <r>
      <rPr>
        <i/>
        <sz val="10"/>
        <rFont val="Calibri"/>
        <family val="2"/>
      </rPr>
      <t>p</t>
    </r>
    <r>
      <rPr>
        <sz val="10"/>
        <rFont val="Calibri"/>
        <family val="2"/>
      </rPr>
      <t>m*</t>
    </r>
    <r>
      <rPr>
        <i/>
        <sz val="10"/>
        <rFont val="Calibri"/>
        <family val="2"/>
      </rPr>
      <t>q</t>
    </r>
    <r>
      <rPr>
        <sz val="10"/>
        <rFont val="Calibri"/>
        <family val="2"/>
      </rPr>
      <t>m)] - Z α/2 (0,05)</t>
    </r>
  </si>
  <si>
    <r>
      <t xml:space="preserve">CÁLCULO DE LA </t>
    </r>
    <r>
      <rPr>
        <b/>
        <i/>
        <sz val="9"/>
        <rFont val="Calibri"/>
        <family val="2"/>
      </rPr>
      <t>p</t>
    </r>
  </si>
  <si>
    <r>
      <t xml:space="preserve">Z </t>
    </r>
    <r>
      <rPr>
        <vertAlign val="subscript"/>
        <sz val="10"/>
        <rFont val="Calibri"/>
        <family val="2"/>
      </rPr>
      <t>α/2</t>
    </r>
    <r>
      <rPr>
        <sz val="10"/>
        <rFont val="Calibri"/>
        <family val="2"/>
      </rPr>
      <t xml:space="preserve"> = Dif Proporc / EE</t>
    </r>
    <r>
      <rPr>
        <vertAlign val="subscript"/>
        <sz val="10"/>
        <rFont val="Calibri"/>
        <family val="2"/>
      </rPr>
      <t xml:space="preserve"> dif proporc</t>
    </r>
  </si>
  <si>
    <t xml:space="preserve"> p (no rechazar Ho │ Ho verdadera)</t>
  </si>
  <si>
    <t>Operar</t>
  </si>
  <si>
    <t>n = nº de los que hay en cada grupo (ojo, no de la suma de ambos)</t>
  </si>
  <si>
    <t>Dif Proporc =  RAR</t>
  </si>
  <si>
    <r>
      <t xml:space="preserve">1-α =  p (no rechazar Ho </t>
    </r>
    <r>
      <rPr>
        <sz val="10"/>
        <rFont val="Calibri"/>
        <family val="2"/>
      </rPr>
      <t>│ Ho verdadera)</t>
    </r>
  </si>
  <si>
    <t>d = diferencia de proporciones de ambos grupos o RAR</t>
  </si>
  <si>
    <r>
      <t xml:space="preserve">EE </t>
    </r>
    <r>
      <rPr>
        <vertAlign val="subscript"/>
        <sz val="10"/>
        <rFont val="Calibri"/>
        <family val="2"/>
      </rPr>
      <t>dif proporc</t>
    </r>
    <r>
      <rPr>
        <sz val="10"/>
        <rFont val="Calibri"/>
        <family val="2"/>
      </rPr>
      <t xml:space="preserve"> = Raíz{ [PM*(1-PM)/n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>] + [PM*(1-PM)/n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 xml:space="preserve">] }= </t>
    </r>
  </si>
  <si>
    <t>pM = proporción "media" de los eventos = nº total eventos / nº suma de ambos grupos; qM= complementario</t>
  </si>
  <si>
    <t>Z α/2 = Dif Proporc / EE Dif proporc</t>
  </si>
  <si>
    <t>A continuación, se aplica: IC = RAR - Raíz [(p1-Li1)^2 + (Ls2-p2)^2]  hasta RAR + Raíz [(p2-Li2)^2 + (Ls1-p1)^2], cuidando colocar arriba la proporción mayor y abajo la menor</t>
  </si>
  <si>
    <r>
      <t>Zβ = [Raíz (n* Dif Proporc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/2PM</t>
    </r>
    <r>
      <rPr>
        <sz val="10"/>
        <rFont val="Calibri"/>
        <family val="2"/>
      </rPr>
      <t>*(1-PM)] - Z α/2</t>
    </r>
  </si>
  <si>
    <t>α = probab de que la diferencia detectada entre ambos sea debida al azar, en caso de que no exista</t>
  </si>
  <si>
    <r>
      <t>Ls1:</t>
    </r>
    <r>
      <rPr>
        <sz val="10"/>
        <rFont val="Calibri"/>
        <family val="2"/>
      </rPr>
      <t xml:space="preserve"> límite superior del grupo 1; </t>
    </r>
    <r>
      <rPr>
        <b/>
        <sz val="10"/>
        <rFont val="Calibri"/>
        <family val="2"/>
      </rPr>
      <t xml:space="preserve">Li2: </t>
    </r>
    <r>
      <rPr>
        <sz val="10"/>
        <rFont val="Calibri"/>
        <family val="2"/>
      </rPr>
      <t>límite inferior del grupo 2</t>
    </r>
  </si>
  <si>
    <t>1 -β = potencia estadística resultante =&gt; probab de detectar una diferencia entre ambos, en caso de que exista</t>
  </si>
  <si>
    <t>1-α = nivel e confianza =  p (no rechazar Ho │ Ho verdadera)</t>
  </si>
  <si>
    <t>RAR =</t>
  </si>
  <si>
    <t xml:space="preserve"> β =&gt; probabilidad de no detectar una diferencia que sí exista.</t>
  </si>
  <si>
    <t>NNT =</t>
  </si>
  <si>
    <t>Potencia de contraste</t>
  </si>
  <si>
    <r>
      <t xml:space="preserve">1 -β =  p (rechazar Ho </t>
    </r>
    <r>
      <rPr>
        <sz val="10"/>
        <rFont val="Calibri"/>
        <family val="2"/>
      </rPr>
      <t>│ Ho falsa)</t>
    </r>
  </si>
  <si>
    <t>DM: diferencia de proporciones</t>
  </si>
  <si>
    <r>
      <t>Z</t>
    </r>
    <r>
      <rPr>
        <vertAlign val="subscript"/>
        <sz val="10"/>
        <rFont val="Calibri"/>
        <family val="2"/>
      </rPr>
      <t>1-</t>
    </r>
    <r>
      <rPr>
        <vertAlign val="subscript"/>
        <sz val="10"/>
        <rFont val="Calibri"/>
        <family val="2"/>
      </rPr>
      <t>α/2</t>
    </r>
    <r>
      <rPr>
        <sz val="10"/>
        <rFont val="Calibri"/>
        <family val="2"/>
      </rPr>
      <t xml:space="preserve"> * EE</t>
    </r>
    <r>
      <rPr>
        <vertAlign val="subscript"/>
        <sz val="10"/>
        <rFont val="Calibri"/>
        <family val="2"/>
      </rPr>
      <t>DM</t>
    </r>
    <r>
      <rPr>
        <sz val="10"/>
        <rFont val="Calibri"/>
        <family val="2"/>
      </rPr>
      <t xml:space="preserve"> + Z</t>
    </r>
    <r>
      <rPr>
        <vertAlign val="subscript"/>
        <sz val="10"/>
        <rFont val="Calibri"/>
        <family val="2"/>
      </rPr>
      <t>β</t>
    </r>
    <r>
      <rPr>
        <sz val="10"/>
        <rFont val="Calibri"/>
        <family val="2"/>
      </rPr>
      <t xml:space="preserve"> * EE</t>
    </r>
    <r>
      <rPr>
        <vertAlign val="subscript"/>
        <sz val="10"/>
        <rFont val="Calibri"/>
        <family val="2"/>
      </rPr>
      <t>DM</t>
    </r>
    <r>
      <rPr>
        <sz val="10"/>
        <rFont val="Calibri"/>
        <family val="2"/>
      </rPr>
      <t xml:space="preserve"> = DM</t>
    </r>
  </si>
  <si>
    <t>=&gt;</t>
  </si>
  <si>
    <r>
      <t>EEDM (Z</t>
    </r>
    <r>
      <rPr>
        <vertAlign val="subscript"/>
        <sz val="10"/>
        <rFont val="Calibri"/>
        <family val="2"/>
      </rPr>
      <t>1-</t>
    </r>
    <r>
      <rPr>
        <vertAlign val="subscript"/>
        <sz val="10"/>
        <rFont val="Calibri"/>
        <family val="2"/>
      </rPr>
      <t>α/2</t>
    </r>
    <r>
      <rPr>
        <sz val="10"/>
        <rFont val="Calibri"/>
        <family val="2"/>
      </rPr>
      <t xml:space="preserve"> + Z</t>
    </r>
    <r>
      <rPr>
        <vertAlign val="subscript"/>
        <sz val="10"/>
        <rFont val="Calibri"/>
        <family val="2"/>
      </rPr>
      <t>β</t>
    </r>
    <r>
      <rPr>
        <sz val="10"/>
        <rFont val="Calibri"/>
        <family val="2"/>
      </rPr>
      <t xml:space="preserve">) </t>
    </r>
    <r>
      <rPr>
        <sz val="10"/>
        <rFont val="Calibri"/>
        <family val="2"/>
      </rPr>
      <t>= DM</t>
    </r>
  </si>
  <si>
    <r>
      <t>Z</t>
    </r>
    <r>
      <rPr>
        <vertAlign val="subscript"/>
        <sz val="10"/>
        <rFont val="Calibri"/>
        <family val="2"/>
      </rPr>
      <t>β</t>
    </r>
    <r>
      <rPr>
        <sz val="10"/>
        <rFont val="Calibri"/>
        <family val="2"/>
      </rPr>
      <t xml:space="preserve">  =  (DM/EE</t>
    </r>
    <r>
      <rPr>
        <vertAlign val="subscript"/>
        <sz val="10"/>
        <rFont val="Calibri"/>
        <family val="2"/>
      </rPr>
      <t>DM</t>
    </r>
    <r>
      <rPr>
        <sz val="10"/>
        <rFont val="Calibri"/>
        <family val="2"/>
      </rPr>
      <t>) - Z</t>
    </r>
    <r>
      <rPr>
        <vertAlign val="subscript"/>
        <sz val="10"/>
        <rFont val="Calibri"/>
        <family val="2"/>
      </rPr>
      <t>1-α/2</t>
    </r>
    <r>
      <rPr>
        <sz val="10"/>
        <rFont val="Calibri"/>
        <family val="2"/>
      </rPr>
      <t xml:space="preserve"> </t>
    </r>
  </si>
  <si>
    <t>1 -β =  potencia estadística resultante =  p de detectar una diferencia entre ambos, en caso de que exista</t>
  </si>
  <si>
    <t>β =  probabilidad de no detectar una diferencia que sí exista =  p (no rechazar Ho │ Ho falsa)</t>
  </si>
  <si>
    <t>Chi cuadrado de Pearson</t>
  </si>
  <si>
    <t>Esperadas</t>
  </si>
  <si>
    <t>Expuestos</t>
  </si>
  <si>
    <t xml:space="preserve">χ² teórico alfa 0,05, y 1 g.l = </t>
  </si>
  <si>
    <t>No expuestos</t>
  </si>
  <si>
    <t>Grados de libertad = (Nº filas - 1 ) x (Nº columnas -1) =</t>
  </si>
  <si>
    <t>Totales</t>
  </si>
  <si>
    <t>Si χ² cal &lt; χ² teórico =&gt;</t>
  </si>
  <si>
    <t>Se acepta Ho =&gt; existe homogeneidad o independencia de la intervención estudiada</t>
  </si>
  <si>
    <t>Si χ² cal &gt; χ² teórico =&gt;</t>
  </si>
  <si>
    <t>Se rechaza Ho =&gt; existe heterogenicidad o dependencia de la intervención estudiada</t>
  </si>
  <si>
    <r>
      <t>χ² cal= Sumat (observado</t>
    </r>
    <r>
      <rPr>
        <vertAlign val="subscript"/>
        <sz val="10"/>
        <rFont val="Calibri"/>
        <family val="2"/>
      </rPr>
      <t xml:space="preserve"> i </t>
    </r>
    <r>
      <rPr>
        <sz val="10"/>
        <rFont val="Calibri"/>
        <family val="2"/>
      </rPr>
      <t xml:space="preserve">- esperado </t>
    </r>
    <r>
      <rPr>
        <vertAlign val="subscript"/>
        <sz val="10"/>
        <rFont val="Calibri"/>
        <family val="2"/>
      </rPr>
      <t>i</t>
    </r>
    <r>
      <rPr>
        <sz val="10"/>
        <rFont val="Calibri"/>
        <family val="2"/>
      </rPr>
      <t>)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/ esperado </t>
    </r>
    <r>
      <rPr>
        <vertAlign val="subscript"/>
        <sz val="10"/>
        <rFont val="Calibri"/>
        <family val="2"/>
      </rPr>
      <t>i</t>
    </r>
    <r>
      <rPr>
        <sz val="10"/>
        <rFont val="Calibri"/>
        <family val="2"/>
      </rPr>
      <t>)</t>
    </r>
  </si>
  <si>
    <t>χ² cal - χ² teórico =</t>
  </si>
  <si>
    <t>χ² cal= Suma [(ao-ae)^2/ae +(bo-be)^2/be + (co-ce)^2/ce + (do-de)^2/de)]</t>
  </si>
  <si>
    <t>χ² cal=</t>
  </si>
  <si>
    <r>
      <t>Corresponde a</t>
    </r>
    <r>
      <rPr>
        <b/>
        <i/>
        <sz val="10"/>
        <rFont val="Calibri"/>
        <family val="2"/>
      </rPr>
      <t xml:space="preserve"> p</t>
    </r>
    <r>
      <rPr>
        <sz val="10"/>
        <rFont val="Calibri"/>
        <family val="2"/>
      </rPr>
      <t>=</t>
    </r>
  </si>
  <si>
    <t>Cálculo por incidencias acumuladas</t>
  </si>
  <si>
    <t>(</t>
  </si>
  <si>
    <t>-</t>
  </si>
  <si>
    <t>)</t>
  </si>
  <si>
    <t>%</t>
  </si>
  <si>
    <t>Nº event Interv (%)</t>
  </si>
  <si>
    <t>Nº event Control (%)</t>
  </si>
  <si>
    <t>RAR</t>
  </si>
  <si>
    <t>potencia</t>
  </si>
  <si>
    <t>a</t>
  </si>
  <si>
    <t>/</t>
  </si>
  <si>
    <t>Potencia</t>
  </si>
  <si>
    <t>% Intervención (Fact Box)</t>
  </si>
  <si>
    <t>% Control (Fact Box)</t>
  </si>
  <si>
    <t>t medio con Ev, con ABC por polígonos</t>
  </si>
  <si>
    <t>t x ABC, Intev</t>
  </si>
  <si>
    <t>t x ABC, Contr</t>
  </si>
  <si>
    <t>meses</t>
  </si>
  <si>
    <t>tiempo</t>
  </si>
  <si>
    <t>RA interv</t>
  </si>
  <si>
    <t>RA contr</t>
  </si>
  <si>
    <r>
      <rPr>
        <i/>
        <sz val="10"/>
        <rFont val="Calibri"/>
        <family val="2"/>
      </rPr>
      <t xml:space="preserve">p </t>
    </r>
    <r>
      <rPr>
        <b/>
        <sz val="10"/>
        <rFont val="Calibri"/>
        <family val="2"/>
      </rPr>
      <t>para la diferencia</t>
    </r>
  </si>
  <si>
    <t>Cálculo por incidencias acumuladas de RR, RAR, NNT, potencia estadística y valor de p</t>
  </si>
  <si>
    <t>Estimación puntual de las incidencias acumuladas</t>
  </si>
  <si>
    <t>Tendrán el Ev, incluso tomando Mto Intervención</t>
  </si>
  <si>
    <t>RR (IC 95%)</t>
  </si>
  <si>
    <t>RAR (IC 95%)</t>
  </si>
  <si>
    <t>NNT (IC 95%)</t>
  </si>
  <si>
    <t>Hoja información al usuario que no se maneja con los IC</t>
  </si>
  <si>
    <t>% de eventos</t>
  </si>
  <si>
    <t>La Prolongación del tiempo medio de Supervivencia Libre de Eventos gracias a</t>
  </si>
  <si>
    <t>tiempo medio de Supervivencia Libre de Evento (tSLEv) sin la intervención</t>
  </si>
  <si>
    <t>Prolongación del tiempo medio de Supervivencia Libre de Evento (PtSLEv) por la intervención</t>
  </si>
  <si>
    <t>Total de t de seguimiento</t>
  </si>
  <si>
    <t>Total del tiempo medio de seguimiento</t>
  </si>
  <si>
    <t xml:space="preserve">tiempo en </t>
  </si>
  <si>
    <t>% Interv (Fact Box)</t>
  </si>
  <si>
    <t>Cálculo de RAR y NNT a partir del RR de un metaanálisis y el % RA en el grupo control</t>
  </si>
  <si>
    <t>% RA control =</t>
  </si>
  <si>
    <t>RR (IC 95%) obtenido en el metaanálisis</t>
  </si>
  <si>
    <t>Estimación puntual</t>
  </si>
  <si>
    <t>% RA interv</t>
  </si>
  <si>
    <t>% RA control</t>
  </si>
  <si>
    <t>RAR (IC95%)</t>
  </si>
  <si>
    <t>Aplíquese únicamente cuando el NNT y sus intervalos de confianza son POSITIVOS</t>
  </si>
  <si>
    <t xml:space="preserve">NNT = </t>
  </si>
  <si>
    <t>Permanecerán sanos sin tomar el fármaco</t>
  </si>
  <si>
    <t>Permanecerán sanos por tomar el fármaco</t>
  </si>
  <si>
    <t>Enfermarán incluso tomando el fármaco</t>
  </si>
  <si>
    <t>Aplíquese únicamente cuando el NNT y sus intervalos de confianza son NEGATIVOS</t>
  </si>
  <si>
    <t xml:space="preserve">NND = </t>
  </si>
  <si>
    <t>Enfermarán por tomar el fármaco</t>
  </si>
  <si>
    <t>Enfermarán incluso sin tomar el fármaco</t>
  </si>
  <si>
    <t>Hoja información al usuario (FACT BOX)</t>
  </si>
  <si>
    <t>Nº Eventos crudos (%)</t>
  </si>
  <si>
    <r>
      <t>Valor de</t>
    </r>
    <r>
      <rPr>
        <b/>
        <i/>
        <sz val="10"/>
        <rFont val="Calibri"/>
        <family val="2"/>
      </rPr>
      <t xml:space="preserve"> p</t>
    </r>
  </si>
  <si>
    <t>% Eventos ajustados</t>
  </si>
  <si>
    <t>% Eventos crudos</t>
  </si>
  <si>
    <t>Si representamos sobre fondo verde la permanencia libre de eventos, entonces este diagrama representa</t>
  </si>
  <si>
    <t>"24 meses x 100% de permanencia libre de eventos = 24 meses libre de eventos (en 24 meses)"</t>
  </si>
  <si>
    <t>"24 meses x 0% de permanencia con evento = 0 meses de permanencia con evento (en 24 meses)</t>
  </si>
  <si>
    <t>Complementariamente esto significa que hay</t>
  </si>
  <si>
    <t>Imaginemos que en el Grupo de Intervención de un ECA o un MA se produce un 5% de eventos en 24 meses</t>
  </si>
  <si>
    <t>Imaginemos que en el grupo de Control de un ECA o un MA se produce un 11% de eventos en 24 meses</t>
  </si>
  <si>
    <t>Lo podemos denotar como "tSlEv" (tiempo medio de Supervivencia Libre de Evento) = 24 meses (en 24 meses)</t>
  </si>
  <si>
    <t>El tiempo medio en el que permanecen con evento es "11% x 24 meses / 2  = 1,32 meses (en 24 meses)"</t>
  </si>
  <si>
    <t>El tiempo medio en el que permanecen con evento es "5% x 24 meses / 2 = 0,6 meses (en 24 meses)</t>
  </si>
  <si>
    <t>usar la intervención en lugar de usar el control es = 1,32 meses - 0,6 meses = 0,72 meses (en 24 meses)</t>
  </si>
  <si>
    <t>Lo podemos denotar como " t con Ev" (t medio de permanencia con Evento) = 0 meses (en 24 meses)</t>
  </si>
  <si>
    <t>Este área representa 100% x 24 meses = 24 meses</t>
  </si>
  <si>
    <t>Los 3 destinos del NNT (3dNNT)</t>
  </si>
  <si>
    <t>Los 3 tiempos biográficos (3tB)</t>
  </si>
  <si>
    <t>Medidas del efecto obtenidas por incidencias acumuladas</t>
  </si>
  <si>
    <t>Variables experienciales</t>
  </si>
  <si>
    <t>Los 3 destinos NNT</t>
  </si>
  <si>
    <t>Resto de tiempo medio sin éxito durante todo el tiempo de seguimiento</t>
  </si>
  <si>
    <r>
      <t>Abreviaturas</t>
    </r>
    <r>
      <rPr>
        <sz val="8"/>
        <rFont val="Calibri"/>
        <family val="2"/>
      </rPr>
      <t xml:space="preserve">: </t>
    </r>
    <r>
      <rPr>
        <b/>
        <sz val="8"/>
        <rFont val="Calibri"/>
        <family val="2"/>
      </rPr>
      <t xml:space="preserve">IC: </t>
    </r>
    <r>
      <rPr>
        <sz val="8"/>
        <rFont val="Calibri"/>
        <family val="2"/>
      </rPr>
      <t xml:space="preserve">intervalo de confianza; </t>
    </r>
    <r>
      <rPr>
        <b/>
        <sz val="8"/>
        <rFont val="Calibri"/>
        <family val="2"/>
      </rPr>
      <t xml:space="preserve">LI: </t>
    </r>
    <r>
      <rPr>
        <sz val="8"/>
        <rFont val="Calibri"/>
        <family val="2"/>
      </rPr>
      <t xml:space="preserve">límite inferior; </t>
    </r>
    <r>
      <rPr>
        <b/>
        <sz val="8"/>
        <rFont val="Calibri"/>
        <family val="2"/>
      </rPr>
      <t>LS:</t>
    </r>
    <r>
      <rPr>
        <sz val="8"/>
        <rFont val="Calibri"/>
        <family val="2"/>
      </rPr>
      <t xml:space="preserve"> límite superior; </t>
    </r>
    <r>
      <rPr>
        <b/>
        <sz val="8"/>
        <rFont val="Calibri"/>
        <family val="2"/>
      </rPr>
      <t>RA</t>
    </r>
    <r>
      <rPr>
        <sz val="8"/>
        <rFont val="Calibri"/>
        <family val="2"/>
      </rPr>
      <t>: Riesgo Absoluto;</t>
    </r>
    <r>
      <rPr>
        <b/>
        <sz val="8"/>
        <rFont val="Calibri"/>
        <family val="2"/>
      </rPr>
      <t xml:space="preserve"> RR</t>
    </r>
    <r>
      <rPr>
        <sz val="8"/>
        <rFont val="Calibri"/>
        <family val="2"/>
      </rPr>
      <t xml:space="preserve">: Riesgo Relativo; </t>
    </r>
    <r>
      <rPr>
        <b/>
        <sz val="8"/>
        <rFont val="Calibri"/>
        <family val="2"/>
      </rPr>
      <t>RAR</t>
    </r>
    <r>
      <rPr>
        <sz val="8"/>
        <rFont val="Calibri"/>
        <family val="2"/>
      </rPr>
      <t xml:space="preserve">: Reducción Absoluta del Riesgo; </t>
    </r>
    <r>
      <rPr>
        <b/>
        <sz val="8"/>
        <rFont val="Calibri"/>
        <family val="2"/>
      </rPr>
      <t>NNT</t>
    </r>
    <r>
      <rPr>
        <sz val="8"/>
        <rFont val="Calibri"/>
        <family val="2"/>
      </rPr>
      <t xml:space="preserve">: Número Necesario a Tratar para evitar un evento; </t>
    </r>
    <r>
      <rPr>
        <b/>
        <sz val="8"/>
        <rFont val="Calibri"/>
        <family val="2"/>
      </rPr>
      <t xml:space="preserve">tSLEv: </t>
    </r>
    <r>
      <rPr>
        <sz val="8"/>
        <rFont val="Calibri"/>
        <family val="2"/>
      </rPr>
      <t xml:space="preserve">tiempo medio de Supervivencia Libre del Evento que se está midiendo; </t>
    </r>
    <r>
      <rPr>
        <b/>
        <sz val="8"/>
        <rFont val="Calibri"/>
        <family val="2"/>
      </rPr>
      <t>PtSLEv:</t>
    </r>
    <r>
      <rPr>
        <sz val="8"/>
        <rFont val="Calibri"/>
        <family val="2"/>
      </rPr>
      <t xml:space="preserve"> Prolongación del tiempo medio de Supervivencia Libre del Evento que se está midiendo.</t>
    </r>
  </si>
  <si>
    <t>LI IC 95%</t>
  </si>
  <si>
    <t>LS IC 95%</t>
  </si>
  <si>
    <t>% RA intervención</t>
  </si>
  <si>
    <t>RevLit y MA, 4 ECA ERC [4 Glifloz vs Pl]</t>
  </si>
  <si>
    <t>Ofic Eval Mtos SES</t>
  </si>
  <si>
    <r>
      <t>Tabla nnt-1 a 7 y 10 a 11:</t>
    </r>
    <r>
      <rPr>
        <b/>
        <sz val="12"/>
        <color theme="1"/>
        <rFont val="Calibri"/>
        <family val="2"/>
      </rPr>
      <t xml:space="preserve"> NNT de cada variable obtenido desde el RR sintético calculado por Metaanálisis, con expresión adicional de los 3 destinos del NNT (3dNNT) en las casillas S, T y U de la línea 3</t>
    </r>
    <r>
      <rPr>
        <b/>
        <sz val="12"/>
        <color indexed="60"/>
        <rFont val="Calibri"/>
        <family val="2"/>
      </rPr>
      <t>.</t>
    </r>
  </si>
  <si>
    <r>
      <rPr>
        <b/>
        <sz val="12"/>
        <color rgb="FF993300"/>
        <rFont val="Calibri"/>
        <family val="2"/>
        <scheme val="minor"/>
      </rPr>
      <t xml:space="preserve">Tabla 3tB-1 a 7: </t>
    </r>
    <r>
      <rPr>
        <b/>
        <sz val="12"/>
        <rFont val="Calibri"/>
        <family val="2"/>
        <scheme val="minor"/>
      </rPr>
      <t>Los 3 tiempos biográficos de cada variable, asumiendo que la incidencia asciende linealmente a lo largo del tiempo.</t>
    </r>
  </si>
  <si>
    <r>
      <t xml:space="preserve">Grupo Gliflozinas, </t>
    </r>
    <r>
      <rPr>
        <sz val="11"/>
        <rFont val="Calibri"/>
        <family val="2"/>
        <scheme val="minor"/>
      </rPr>
      <t>n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>= Nº participantes según se informa para cada línea</t>
    </r>
  </si>
  <si>
    <r>
      <t>Grupo Placebo,</t>
    </r>
    <r>
      <rPr>
        <sz val="11"/>
        <rFont val="Calibri"/>
        <family val="2"/>
        <scheme val="minor"/>
      </rPr>
      <t xml:space="preserve"> n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= Nº participantes según se informa para cada línea</t>
    </r>
  </si>
  <si>
    <t>Cálculos desde cada RR (por efectos aleatorios) obtenido en el cada metaanálisis respectivo, desde M-1-&gt;nnt-1 hasta M-7-&gt;nnt-7 para los beneficios, y desde M-10-&gt;nnt-10 a M-11-&gt;nnt-11 para los efectos adversos</t>
  </si>
  <si>
    <t>Nº de ECAs combinados</t>
  </si>
  <si>
    <t>Gliflozinas involucradas</t>
  </si>
  <si>
    <r>
      <t xml:space="preserve">Nº de participantes: </t>
    </r>
    <r>
      <rPr>
        <sz val="11"/>
        <rFont val="Calibri"/>
        <family val="2"/>
      </rPr>
      <t>n</t>
    </r>
    <r>
      <rPr>
        <vertAlign val="subscript"/>
        <sz val="11"/>
        <rFont val="Calibri"/>
        <family val="2"/>
      </rPr>
      <t>i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vs</t>
    </r>
    <r>
      <rPr>
        <sz val="11"/>
        <rFont val="Calibri"/>
        <family val="2"/>
      </rPr>
      <t xml:space="preserve"> n</t>
    </r>
    <r>
      <rPr>
        <vertAlign val="subscript"/>
        <sz val="11"/>
        <rFont val="Calibri"/>
        <family val="2"/>
      </rPr>
      <t>c</t>
    </r>
  </si>
  <si>
    <t>Estmación de la validez GRADE de la evidencia (resultado)</t>
  </si>
  <si>
    <t>Índice de heterogeneidad</t>
  </si>
  <si>
    <t>Nº de personas con el evento que se está midiendo por cada 100 tratadas con</t>
  </si>
  <si>
    <t>Tiempo de seguimiento, según se informa para cada línea</t>
  </si>
  <si>
    <t>Gliflozinas</t>
  </si>
  <si>
    <t>Variables experienciales de beneficio</t>
  </si>
  <si>
    <t>nnt-1</t>
  </si>
  <si>
    <t>Mortalidad por todas las causas, en 22 meses</t>
  </si>
  <si>
    <t>5,04%</t>
  </si>
  <si>
    <t>5,87%</t>
  </si>
  <si>
    <t>0,86 (0,74-0,99)</t>
  </si>
  <si>
    <t>0,83% (0,04% a 1,51%)</t>
  </si>
  <si>
    <t>121 (66 a 2714)</t>
  </si>
  <si>
    <t>4 ECA</t>
  </si>
  <si>
    <t>cana, dapa, sota, empa</t>
  </si>
  <si>
    <t>12.950 vs 12.948</t>
  </si>
  <si>
    <t>Moderada-Baja</t>
  </si>
  <si>
    <r>
      <t>I</t>
    </r>
    <r>
      <rPr>
        <b/>
        <i/>
        <vertAlign val="superscript"/>
        <sz val="11"/>
        <color rgb="FFFF3399"/>
        <rFont val="Calibri"/>
        <family val="2"/>
      </rPr>
      <t xml:space="preserve">2 </t>
    </r>
    <r>
      <rPr>
        <b/>
        <sz val="11"/>
        <color rgb="FFFF3399"/>
        <rFont val="Calibri"/>
        <family val="2"/>
      </rPr>
      <t>= 50%</t>
    </r>
  </si>
  <si>
    <t>nnt-2</t>
  </si>
  <si>
    <t>nnt-3</t>
  </si>
  <si>
    <r>
      <rPr>
        <u/>
        <sz val="10"/>
        <color theme="1"/>
        <rFont val="Calibri"/>
        <family val="2"/>
        <scheme val="minor"/>
      </rPr>
      <t>Abreviaturas</t>
    </r>
    <r>
      <rPr>
        <sz val="10"/>
        <color theme="1"/>
        <rFont val="Calibri"/>
        <family val="2"/>
        <scheme val="minor"/>
      </rPr>
      <t xml:space="preserve">: </t>
    </r>
    <r>
      <rPr>
        <b/>
        <sz val="10"/>
        <color theme="1"/>
        <rFont val="Calibri"/>
        <family val="2"/>
        <scheme val="minor"/>
      </rPr>
      <t xml:space="preserve">CV: </t>
    </r>
    <r>
      <rPr>
        <sz val="10"/>
        <color theme="1"/>
        <rFont val="Calibri"/>
        <family val="2"/>
        <scheme val="minor"/>
      </rPr>
      <t xml:space="preserve">cardiovascular; </t>
    </r>
    <r>
      <rPr>
        <b/>
        <sz val="10"/>
        <color theme="1"/>
        <rFont val="Calibri"/>
        <family val="2"/>
        <scheme val="minor"/>
      </rPr>
      <t>EA:</t>
    </r>
    <r>
      <rPr>
        <sz val="10"/>
        <color theme="1"/>
        <rFont val="Calibri"/>
        <family val="2"/>
        <scheme val="minor"/>
      </rPr>
      <t xml:space="preserve"> efecto/s adverso/s; </t>
    </r>
    <r>
      <rPr>
        <b/>
        <sz val="10"/>
        <color theme="1"/>
        <rFont val="Calibri"/>
        <family val="2"/>
        <scheme val="minor"/>
      </rPr>
      <t>ECA:</t>
    </r>
    <r>
      <rPr>
        <sz val="10"/>
        <color theme="1"/>
        <rFont val="Calibri"/>
        <family val="2"/>
        <scheme val="minor"/>
      </rPr>
      <t xml:space="preserve"> estudio controlado aleatorizado (ensayo clínico); </t>
    </r>
    <r>
      <rPr>
        <b/>
        <sz val="10"/>
        <color theme="1"/>
        <rFont val="Calibri"/>
        <family val="2"/>
        <scheme val="minor"/>
      </rPr>
      <t>ERC:</t>
    </r>
    <r>
      <rPr>
        <sz val="10"/>
        <color theme="1"/>
        <rFont val="Calibri"/>
        <family val="2"/>
        <scheme val="minor"/>
      </rPr>
      <t xml:space="preserve"> enfermedad renal crónica; </t>
    </r>
    <r>
      <rPr>
        <b/>
        <sz val="10"/>
        <color theme="1"/>
        <rFont val="Calibri"/>
        <family val="2"/>
        <scheme val="minor"/>
      </rPr>
      <t>FGe:</t>
    </r>
    <r>
      <rPr>
        <sz val="10"/>
        <color theme="1"/>
        <rFont val="Calibri"/>
        <family val="2"/>
        <scheme val="minor"/>
      </rPr>
      <t xml:space="preserve"> tasa de filtración glomerular estimada, en ml/min/1,73 m2 de superficie corporal; </t>
    </r>
    <r>
      <rPr>
        <b/>
        <sz val="10"/>
        <color theme="1"/>
        <rFont val="Calibri"/>
        <family val="2"/>
        <scheme val="minor"/>
      </rPr>
      <t xml:space="preserve">IC: </t>
    </r>
    <r>
      <rPr>
        <sz val="10"/>
        <color theme="1"/>
        <rFont val="Calibri"/>
        <family val="2"/>
        <scheme val="minor"/>
      </rPr>
      <t xml:space="preserve">intervalo de confianza; </t>
    </r>
    <r>
      <rPr>
        <b/>
        <sz val="10"/>
        <color theme="1"/>
        <rFont val="Calibri"/>
        <family val="2"/>
        <scheme val="minor"/>
      </rPr>
      <t>ml/min:</t>
    </r>
    <r>
      <rPr>
        <sz val="10"/>
        <color theme="1"/>
        <rFont val="Calibri"/>
        <family val="2"/>
        <scheme val="minor"/>
      </rPr>
      <t xml:space="preserve"> mililitros por minuto; </t>
    </r>
    <r>
      <rPr>
        <b/>
        <sz val="10"/>
        <color theme="1"/>
        <rFont val="Calibri"/>
        <family val="2"/>
        <scheme val="minor"/>
      </rPr>
      <t xml:space="preserve">Mort: </t>
    </r>
    <r>
      <rPr>
        <sz val="10"/>
        <color theme="1"/>
        <rFont val="Calibri"/>
        <family val="2"/>
        <scheme val="minor"/>
      </rPr>
      <t xml:space="preserve">mortalidad por todas las causas; </t>
    </r>
    <r>
      <rPr>
        <b/>
        <sz val="10"/>
        <color theme="1"/>
        <rFont val="Calibri"/>
        <family val="2"/>
        <scheme val="minor"/>
      </rPr>
      <t>Mort CV:</t>
    </r>
    <r>
      <rPr>
        <sz val="10"/>
        <color theme="1"/>
        <rFont val="Calibri"/>
        <family val="2"/>
        <scheme val="minor"/>
      </rPr>
      <t xml:space="preserve"> Mortalidad por causa cardiovascular; </t>
    </r>
    <r>
      <rPr>
        <b/>
        <sz val="10"/>
        <color theme="1"/>
        <rFont val="Calibri"/>
        <family val="2"/>
        <scheme val="minor"/>
      </rPr>
      <t xml:space="preserve">NNT: </t>
    </r>
    <r>
      <rPr>
        <sz val="10"/>
        <color theme="1"/>
        <rFont val="Calibri"/>
        <family val="2"/>
        <scheme val="minor"/>
      </rPr>
      <t xml:space="preserve">número necesario a tratar para proteger a 1 paciente más que sin tratar; </t>
    </r>
    <r>
      <rPr>
        <b/>
        <sz val="10"/>
        <color theme="1"/>
        <rFont val="Calibri"/>
        <family val="2"/>
        <scheme val="minor"/>
      </rPr>
      <t>RAR:</t>
    </r>
    <r>
      <rPr>
        <sz val="10"/>
        <color theme="1"/>
        <rFont val="Calibri"/>
        <family val="2"/>
        <scheme val="minor"/>
      </rPr>
      <t xml:space="preserve"> reducción absoluta del riesgo; </t>
    </r>
    <r>
      <rPr>
        <b/>
        <sz val="10"/>
        <color theme="1"/>
        <rFont val="Calibri"/>
        <family val="2"/>
        <scheme val="minor"/>
      </rPr>
      <t xml:space="preserve">RR: </t>
    </r>
    <r>
      <rPr>
        <sz val="10"/>
        <color theme="1"/>
        <rFont val="Calibri"/>
        <family val="2"/>
        <scheme val="minor"/>
      </rPr>
      <t xml:space="preserve">riesgo relativo obtenido en el metaanálisis; </t>
    </r>
    <r>
      <rPr>
        <b/>
        <sz val="10"/>
        <color theme="1"/>
        <rFont val="Calibri"/>
        <family val="2"/>
        <scheme val="minor"/>
      </rPr>
      <t>SGLT-2:</t>
    </r>
    <r>
      <rPr>
        <sz val="10"/>
        <color theme="1"/>
        <rFont val="Calibri"/>
        <family val="2"/>
        <scheme val="minor"/>
      </rPr>
      <t xml:space="preserve"> receptor del cotransportador de sodio-glucosa tipo 2;</t>
    </r>
    <r>
      <rPr>
        <b/>
        <sz val="10"/>
        <color theme="1"/>
        <rFont val="Calibri"/>
        <family val="2"/>
        <scheme val="minor"/>
      </rPr>
      <t xml:space="preserve"> tSLEv: </t>
    </r>
    <r>
      <rPr>
        <sz val="10"/>
        <color theme="1"/>
        <rFont val="Calibri"/>
        <family val="2"/>
        <scheme val="minor"/>
      </rPr>
      <t>tiempo medio de supervivencia libre del evento que se está midiendo;</t>
    </r>
    <r>
      <rPr>
        <b/>
        <sz val="10"/>
        <color theme="1"/>
        <rFont val="Calibri"/>
        <family val="2"/>
        <scheme val="minor"/>
      </rPr>
      <t xml:space="preserve"> PtSLEv:</t>
    </r>
    <r>
      <rPr>
        <sz val="10"/>
        <color theme="1"/>
        <rFont val="Calibri"/>
        <family val="2"/>
        <scheme val="minor"/>
      </rPr>
      <t xml:space="preserve"> prolongación del tiempo medio de supervivencia libre del evento que se está midiendo; </t>
    </r>
    <r>
      <rPr>
        <b/>
        <sz val="10"/>
        <color theme="1"/>
        <rFont val="Calibri"/>
        <family val="2"/>
        <scheme val="minor"/>
      </rPr>
      <t xml:space="preserve">3tB: </t>
    </r>
    <r>
      <rPr>
        <sz val="10"/>
        <color theme="1"/>
        <rFont val="Calibri"/>
        <family val="2"/>
        <scheme val="minor"/>
      </rPr>
      <t xml:space="preserve">los 3 tiempos biográficos; </t>
    </r>
    <r>
      <rPr>
        <b/>
        <sz val="10"/>
        <color theme="1"/>
        <rFont val="Calibri"/>
        <family val="2"/>
        <scheme val="minor"/>
      </rPr>
      <t xml:space="preserve">3dNNT: </t>
    </r>
    <r>
      <rPr>
        <sz val="10"/>
        <color theme="1"/>
        <rFont val="Calibri"/>
        <family val="2"/>
        <scheme val="minor"/>
      </rPr>
      <t xml:space="preserve">los 3 destinos del NNT; </t>
    </r>
    <r>
      <rPr>
        <b/>
        <sz val="10"/>
        <color theme="1"/>
        <rFont val="Calibri"/>
        <family val="2"/>
        <scheme val="minor"/>
      </rPr>
      <t>cana:</t>
    </r>
    <r>
      <rPr>
        <sz val="10"/>
        <color theme="1"/>
        <rFont val="Calibri"/>
        <family val="2"/>
        <scheme val="minor"/>
      </rPr>
      <t xml:space="preserve"> canagliflozina; </t>
    </r>
    <r>
      <rPr>
        <b/>
        <sz val="10"/>
        <color theme="1"/>
        <rFont val="Calibri"/>
        <family val="2"/>
        <scheme val="minor"/>
      </rPr>
      <t xml:space="preserve">dapa: </t>
    </r>
    <r>
      <rPr>
        <sz val="10"/>
        <color theme="1"/>
        <rFont val="Calibri"/>
        <family val="2"/>
        <scheme val="minor"/>
      </rPr>
      <t>dapagliflozina;</t>
    </r>
    <r>
      <rPr>
        <b/>
        <sz val="10"/>
        <color theme="1"/>
        <rFont val="Calibri"/>
        <family val="2"/>
        <scheme val="minor"/>
      </rPr>
      <t xml:space="preserve"> sota: </t>
    </r>
    <r>
      <rPr>
        <sz val="10"/>
        <color theme="1"/>
        <rFont val="Calibri"/>
        <family val="2"/>
        <scheme val="minor"/>
      </rPr>
      <t xml:space="preserve">sotagliflozina; </t>
    </r>
    <r>
      <rPr>
        <b/>
        <sz val="10"/>
        <color theme="1"/>
        <rFont val="Calibri"/>
        <family val="2"/>
        <scheme val="minor"/>
      </rPr>
      <t xml:space="preserve">empa: </t>
    </r>
    <r>
      <rPr>
        <sz val="10"/>
        <color theme="1"/>
        <rFont val="Calibri"/>
        <family val="2"/>
        <scheme val="minor"/>
      </rPr>
      <t>empagliflozina.</t>
    </r>
  </si>
  <si>
    <r>
      <rPr>
        <b/>
        <sz val="10"/>
        <rFont val="Calibri"/>
        <family val="2"/>
      </rPr>
      <t>Índice de Heterogeneidad</t>
    </r>
    <r>
      <rPr>
        <b/>
        <i/>
        <sz val="10"/>
        <rFont val="Calibri"/>
        <family val="2"/>
      </rPr>
      <t xml:space="preserve"> I</t>
    </r>
    <r>
      <rPr>
        <b/>
        <i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>:</t>
    </r>
    <r>
      <rPr>
        <sz val="10"/>
        <rFont val="Calibri"/>
        <family val="2"/>
      </rPr>
      <t xml:space="preserve"> </t>
    </r>
    <r>
      <rPr>
        <sz val="10"/>
        <color rgb="FF669900"/>
        <rFont val="Calibri"/>
        <family val="2"/>
      </rPr>
      <t>0%-25%: baja</t>
    </r>
    <r>
      <rPr>
        <sz val="10"/>
        <rFont val="Calibri"/>
        <family val="2"/>
      </rPr>
      <t xml:space="preserve">; </t>
    </r>
    <r>
      <rPr>
        <sz val="10"/>
        <color rgb="FFFF9900"/>
        <rFont val="Calibri"/>
        <family val="2"/>
      </rPr>
      <t>25%-50%: moderada</t>
    </r>
    <r>
      <rPr>
        <sz val="10"/>
        <rFont val="Calibri"/>
        <family val="2"/>
      </rPr>
      <t xml:space="preserve">; </t>
    </r>
    <r>
      <rPr>
        <sz val="10"/>
        <color rgb="FFFF3399"/>
        <rFont val="Calibri"/>
        <family val="2"/>
      </rPr>
      <t>50%-75%: alta</t>
    </r>
    <r>
      <rPr>
        <sz val="10"/>
        <rFont val="Calibri"/>
        <family val="2"/>
      </rPr>
      <t xml:space="preserve">; y </t>
    </r>
    <r>
      <rPr>
        <sz val="10"/>
        <color rgb="FFFF0000"/>
        <rFont val="Calibri"/>
        <family val="2"/>
      </rPr>
      <t xml:space="preserve">75%-100%: muy alta </t>
    </r>
  </si>
  <si>
    <t>Variable experiencial</t>
  </si>
  <si>
    <t>Mortalidad por todas las causas</t>
  </si>
  <si>
    <t>Mort, Gliflozinas [cana, dapa, sota, empa]</t>
  </si>
  <si>
    <t>Mort, Placebo</t>
  </si>
  <si>
    <t>Grupo Gliflozinas, n= 12.950</t>
  </si>
  <si>
    <t>meses 22</t>
  </si>
  <si>
    <t>Meses ---&gt;</t>
  </si>
  <si>
    <t>Grupo Placebo, n= 12.948</t>
  </si>
  <si>
    <t>Participantes -----&gt;</t>
  </si>
  <si>
    <r>
      <t>Abreviaturas</t>
    </r>
    <r>
      <rPr>
        <sz val="8"/>
        <rFont val="Calibri"/>
        <family val="2"/>
      </rPr>
      <t xml:space="preserve">: </t>
    </r>
    <r>
      <rPr>
        <b/>
        <sz val="8"/>
        <rFont val="Calibri"/>
        <family val="2"/>
      </rPr>
      <t xml:space="preserve">DE: </t>
    </r>
    <r>
      <rPr>
        <sz val="8"/>
        <rFont val="Calibri"/>
        <family val="2"/>
      </rPr>
      <t xml:space="preserve">desviación estándar; </t>
    </r>
    <r>
      <rPr>
        <b/>
        <sz val="8"/>
        <rFont val="Calibri"/>
        <family val="2"/>
      </rPr>
      <t xml:space="preserve">IC: </t>
    </r>
    <r>
      <rPr>
        <sz val="8"/>
        <rFont val="Calibri"/>
        <family val="2"/>
      </rPr>
      <t xml:space="preserve">intervalo de confianza; </t>
    </r>
    <r>
      <rPr>
        <b/>
        <sz val="8"/>
        <rFont val="Calibri"/>
        <family val="2"/>
      </rPr>
      <t>RA</t>
    </r>
    <r>
      <rPr>
        <sz val="8"/>
        <rFont val="Calibri"/>
        <family val="2"/>
      </rPr>
      <t>: Riesgo Absoluto;</t>
    </r>
    <r>
      <rPr>
        <b/>
        <sz val="8"/>
        <rFont val="Calibri"/>
        <family val="2"/>
      </rPr>
      <t xml:space="preserve"> RR</t>
    </r>
    <r>
      <rPr>
        <sz val="8"/>
        <rFont val="Calibri"/>
        <family val="2"/>
      </rPr>
      <t xml:space="preserve">: Riesgo Relativo; </t>
    </r>
    <r>
      <rPr>
        <b/>
        <sz val="8"/>
        <rFont val="Calibri"/>
        <family val="2"/>
      </rPr>
      <t>RAR</t>
    </r>
    <r>
      <rPr>
        <sz val="8"/>
        <rFont val="Calibri"/>
        <family val="2"/>
      </rPr>
      <t xml:space="preserve">: Reducción Absoluta del Riesgo; </t>
    </r>
    <r>
      <rPr>
        <b/>
        <sz val="8"/>
        <rFont val="Calibri"/>
        <family val="2"/>
      </rPr>
      <t>NNT</t>
    </r>
    <r>
      <rPr>
        <sz val="8"/>
        <rFont val="Calibri"/>
        <family val="2"/>
      </rPr>
      <t xml:space="preserve">: Número Necesario a Tratar para evitar un evento; </t>
    </r>
    <r>
      <rPr>
        <b/>
        <sz val="8"/>
        <rFont val="Calibri"/>
        <family val="2"/>
      </rPr>
      <t xml:space="preserve">tSLEv: </t>
    </r>
    <r>
      <rPr>
        <sz val="8"/>
        <rFont val="Calibri"/>
        <family val="2"/>
      </rPr>
      <t xml:space="preserve">tiempo medio de Supervivencia Libre de Evento; </t>
    </r>
    <r>
      <rPr>
        <b/>
        <sz val="8"/>
        <rFont val="Calibri"/>
        <family val="2"/>
      </rPr>
      <t>PtSLEv:</t>
    </r>
    <r>
      <rPr>
        <sz val="8"/>
        <rFont val="Calibri"/>
        <family val="2"/>
      </rPr>
      <t xml:space="preserve"> Prolongación del tiempo medio de Supervivencia Libre de Evento.</t>
    </r>
  </si>
  <si>
    <t>%Ev/año</t>
  </si>
  <si>
    <t>años</t>
  </si>
  <si>
    <t>Apixabán</t>
  </si>
  <si>
    <t>Aspirina</t>
  </si>
  <si>
    <r>
      <t xml:space="preserve">B= z * Raíz [z^2 + 4*eventos (1 - </t>
    </r>
    <r>
      <rPr>
        <b/>
        <i/>
        <sz val="10"/>
        <rFont val="Calibri"/>
        <family val="2"/>
      </rPr>
      <t>p</t>
    </r>
    <r>
      <rPr>
        <b/>
        <sz val="10"/>
        <rFont val="Calibri"/>
        <family val="2"/>
      </rPr>
      <t xml:space="preserve">)] </t>
    </r>
  </si>
  <si>
    <t>APLICAR SÓLO SI EL NNT Y SUS IC SON POSITIVOS</t>
  </si>
  <si>
    <t>Permanecerán sanos sin tomar el Mto de Intervención</t>
  </si>
  <si>
    <t>Permanecerán sanos por tomar el Mto de Intervención</t>
  </si>
  <si>
    <t>Enfermarán incluso tomando el Mto de Intervención</t>
  </si>
  <si>
    <t>APLICAR SÓLO SI EL NNT Y SUS IC SON NEGATIVOS</t>
  </si>
  <si>
    <t>NND</t>
  </si>
  <si>
    <t>Enfermarán por tomar el Mto de Intervención</t>
  </si>
  <si>
    <t>Enfermarán incluso sin tomar el Mto de Intervención</t>
  </si>
  <si>
    <t>Es &lt; 0 =&gt;Acepto Ho =&gt; Homogeneidad o independencia (o tratamiento no eficaz)</t>
  </si>
  <si>
    <t>Es &gt; 0 =&gt;Rechazo Ho =&gt; Heterogenicidad o dependencia (o tratamiento eficaz)</t>
  </si>
  <si>
    <t>Estimación puntual e IC de cada proporción</t>
  </si>
  <si>
    <t>20240111-ECA ARTESIA 3,5y, FA subcl [Apix vs AAS], =MortCV -ACV +Hem. Healey</t>
  </si>
  <si>
    <t>Healey JS, Lopes RD, Granger CB, on behalf of the ARTESIA Investigators. Apixaban for Stroke Prevention in Subclinical Atrial Fibrillation. N Engl J Med. 2024 Jan 11;390(2):107-117.</t>
  </si>
  <si>
    <r>
      <t>Tabla nnt-1:</t>
    </r>
    <r>
      <rPr>
        <b/>
        <sz val="13"/>
        <color theme="1"/>
        <rFont val="Calibri"/>
        <family val="2"/>
      </rPr>
      <t xml:space="preserve"> Pacientes de 77 (DE 7,7) años, al que se acaba de detectar una fibrilación auricular subclínica, y puntuación media 3 (DE 1,1) en el esquema CHA</t>
    </r>
    <r>
      <rPr>
        <b/>
        <vertAlign val="subscript"/>
        <sz val="13"/>
        <color theme="1"/>
        <rFont val="Calibri"/>
        <family val="2"/>
      </rPr>
      <t>2</t>
    </r>
    <r>
      <rPr>
        <b/>
        <sz val="13"/>
        <color theme="1"/>
        <rFont val="Calibri"/>
        <family val="2"/>
      </rPr>
      <t>DS</t>
    </r>
    <r>
      <rPr>
        <b/>
        <vertAlign val="subscript"/>
        <sz val="13"/>
        <color theme="1"/>
        <rFont val="Calibri"/>
        <family val="2"/>
      </rPr>
      <t>2</t>
    </r>
    <r>
      <rPr>
        <b/>
        <sz val="13"/>
        <color theme="1"/>
        <rFont val="Calibri"/>
        <family val="2"/>
      </rPr>
      <t>-VASc.</t>
    </r>
  </si>
  <si>
    <r>
      <rPr>
        <b/>
        <sz val="12"/>
        <color rgb="FF993300"/>
        <rFont val="Calibri"/>
        <family val="2"/>
        <scheme val="minor"/>
      </rPr>
      <t xml:space="preserve">Tabla 3tB-1: </t>
    </r>
    <r>
      <rPr>
        <b/>
        <sz val="12"/>
        <rFont val="Calibri"/>
        <family val="2"/>
        <scheme val="minor"/>
      </rPr>
      <t>Los 3 tiempos biográficos de cada variable, asumiendo que la incidencia asciende linealmente a lo largo del tiempo.</t>
    </r>
  </si>
  <si>
    <r>
      <t xml:space="preserve">ECA ARTESIA, media de seguimiento 3,55 años = 42,6 meses </t>
    </r>
    <r>
      <rPr>
        <sz val="12"/>
        <color theme="0" tint="-0.34998626667073579"/>
        <rFont val="Calibri"/>
        <family val="2"/>
        <scheme val="minor"/>
      </rPr>
      <t>(por el % de pac-año en Mortalidad; 3,49 años en Variable principal; y 3,46 en Hemorragia mayor)</t>
    </r>
  </si>
  <si>
    <r>
      <t xml:space="preserve">Apixabán </t>
    </r>
    <r>
      <rPr>
        <sz val="12"/>
        <rFont val="Calibri"/>
        <family val="2"/>
      </rPr>
      <t>(2,5 mg/12h</t>
    </r>
    <r>
      <rPr>
        <sz val="12"/>
        <color theme="0" tint="-0.34998626667073579"/>
        <rFont val="Calibri"/>
        <family val="2"/>
      </rPr>
      <t>)</t>
    </r>
    <r>
      <rPr>
        <b/>
        <sz val="12"/>
        <rFont val="Calibri"/>
        <family val="2"/>
      </rPr>
      <t>; n= 2.015</t>
    </r>
  </si>
  <si>
    <r>
      <t xml:space="preserve">Aspirina </t>
    </r>
    <r>
      <rPr>
        <sz val="12"/>
        <rFont val="Calibri"/>
        <family val="2"/>
      </rPr>
      <t>(81 mg/24h)</t>
    </r>
    <r>
      <rPr>
        <b/>
        <sz val="12"/>
        <rFont val="Calibri"/>
        <family val="2"/>
      </rPr>
      <t>; n= 1.997</t>
    </r>
  </si>
  <si>
    <r>
      <t>Nº de pacientes con evento en</t>
    </r>
    <r>
      <rPr>
        <b/>
        <sz val="10"/>
        <rFont val="Calibri"/>
        <family val="2"/>
      </rPr>
      <t xml:space="preserve"> 42 meses </t>
    </r>
    <r>
      <rPr>
        <sz val="10"/>
        <rFont val="Calibri"/>
        <family val="2"/>
      </rPr>
      <t>por cada 100 tratados con</t>
    </r>
    <r>
      <rPr>
        <b/>
        <sz val="10"/>
        <rFont val="Calibri"/>
        <family val="2"/>
      </rPr>
      <t>:</t>
    </r>
  </si>
  <si>
    <t>Mortalidad cardiovascular</t>
  </si>
  <si>
    <t>105/2015 (5,21%)</t>
  </si>
  <si>
    <t>108/1997 (5,41%)</t>
  </si>
  <si>
    <t>0,96 (0,74-1,25)</t>
  </si>
  <si>
    <t>0,2% (-1,2% a 1,59%)</t>
  </si>
  <si>
    <t>507 (63 a -83)</t>
  </si>
  <si>
    <t>Infarto de miocardio</t>
  </si>
  <si>
    <t>37/2015 (1,84%)</t>
  </si>
  <si>
    <t>41/1997 (2,05%)</t>
  </si>
  <si>
    <t>0,89 (0,58-1,39)</t>
  </si>
  <si>
    <t>0,22% (-0,66% a 1,09%)</t>
  </si>
  <si>
    <t>461 (92 a -151)</t>
  </si>
  <si>
    <r>
      <t xml:space="preserve">Ictus </t>
    </r>
    <r>
      <rPr>
        <b/>
        <sz val="12"/>
        <color rgb="FF0000FF"/>
        <rFont val="Calibri"/>
        <family val="2"/>
        <scheme val="minor"/>
      </rPr>
      <t>(*)</t>
    </r>
  </si>
  <si>
    <t>55/2015 (2,73%)</t>
  </si>
  <si>
    <t>84/1997 (4,21%)</t>
  </si>
  <si>
    <t>0,65 (0,46-0,91)</t>
  </si>
  <si>
    <t>1,48% (0,32% a 2,61%)</t>
  </si>
  <si>
    <t>68 (38 a 312)</t>
  </si>
  <si>
    <r>
      <rPr>
        <u/>
        <sz val="10"/>
        <rFont val="Calibri"/>
        <family val="2"/>
      </rPr>
      <t>Abreviaturas</t>
    </r>
    <r>
      <rPr>
        <sz val="10"/>
        <rFont val="Calibri"/>
        <family val="2"/>
      </rPr>
      <t xml:space="preserve">: </t>
    </r>
    <r>
      <rPr>
        <b/>
        <sz val="10"/>
        <rFont val="Calibri"/>
        <family val="2"/>
      </rPr>
      <t xml:space="preserve">IC: </t>
    </r>
    <r>
      <rPr>
        <sz val="10"/>
        <rFont val="Calibri"/>
        <family val="2"/>
      </rPr>
      <t xml:space="preserve">intervalo de confianza; </t>
    </r>
    <r>
      <rPr>
        <b/>
        <sz val="10"/>
        <rFont val="Calibri"/>
        <family val="2"/>
      </rPr>
      <t xml:space="preserve">NNT: </t>
    </r>
    <r>
      <rPr>
        <sz val="10"/>
        <rFont val="Calibri"/>
        <family val="2"/>
      </rPr>
      <t xml:space="preserve">número necesario a tratar para evitar 1 evento más que sin tratar; </t>
    </r>
    <r>
      <rPr>
        <b/>
        <sz val="10"/>
        <rFont val="Calibri"/>
        <family val="2"/>
      </rPr>
      <t xml:space="preserve">RAR: </t>
    </r>
    <r>
      <rPr>
        <sz val="10"/>
        <rFont val="Calibri"/>
        <family val="2"/>
      </rPr>
      <t xml:space="preserve">reducción absoluta del riesgo; </t>
    </r>
    <r>
      <rPr>
        <b/>
        <sz val="10"/>
        <rFont val="Calibri"/>
        <family val="2"/>
      </rPr>
      <t xml:space="preserve">RR: </t>
    </r>
    <r>
      <rPr>
        <sz val="10"/>
        <rFont val="Calibri"/>
        <family val="2"/>
      </rPr>
      <t>riesgo relativo (obtenido por incidencias acumuladas).</t>
    </r>
  </si>
  <si>
    <t>Ictus</t>
  </si>
  <si>
    <r>
      <rPr>
        <b/>
        <sz val="10"/>
        <rFont val="Calibri"/>
        <family val="2"/>
        <scheme val="minor"/>
      </rPr>
      <t>Apixabán</t>
    </r>
    <r>
      <rPr>
        <sz val="10"/>
        <rFont val="Calibri"/>
        <family val="2"/>
        <scheme val="minor"/>
      </rPr>
      <t>; n = 2015</t>
    </r>
  </si>
  <si>
    <r>
      <rPr>
        <b/>
        <sz val="10"/>
        <rFont val="Calibri"/>
        <family val="2"/>
        <scheme val="minor"/>
      </rPr>
      <t>Aspirina</t>
    </r>
    <r>
      <rPr>
        <sz val="10"/>
        <rFont val="Calibri"/>
        <family val="2"/>
        <scheme val="minor"/>
      </rPr>
      <t>; n = 1997</t>
    </r>
  </si>
  <si>
    <t>Gráfico g-1: Distribución de "Los 3 tiempos biográficos (3tB)" sobre "Los 3 destinos del NNT (3dNNT)" en "Ictus", durante un seguimiento de 42 meses.</t>
  </si>
  <si>
    <t>Permanecen sin Ev gracias a Mto Intervención</t>
  </si>
  <si>
    <t>Permanecen sin Ev sin tomar Mto Intervención</t>
  </si>
  <si>
    <t>Gráfico g-...: Distribución de "Los 3 tiempos biográficos (3tB)" sobre "Los 3 destinos del NNT (3dNNT)" en "Mortalidad por todas las causas (Mort)", durante un seguimiento de 22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</si>
</sst>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\ _€_-;\-* #,##0.00\ _€_-;_-* &quot;-&quot;??\ _€_-;_-@_-"/>
    <numFmt numFmtId="164" formatCode="0.0"/>
    <numFmt numFmtId="165" formatCode="_-* #,##0.0\ _€_-;\-* #,##0.0\ _€_-;_-* &quot;-&quot;??\ _€_-;_-@_-"/>
    <numFmt numFmtId="166" formatCode="0.0%"/>
    <numFmt numFmtId="167" formatCode="#,##0.0"/>
    <numFmt numFmtId="168" formatCode="_-* #,##0\ _€_-;\-* #,##0\ _€_-;_-* &quot;-&quot;??\ _€_-;_-@_-"/>
    <numFmt numFmtId="169" formatCode="_-* #,##0.000\ _€_-;\-* #,##0.000\ _€_-;_-* &quot;-&quot;??\ _€_-;_-@_-"/>
    <numFmt numFmtId="170" formatCode="#,##0.00_ ;\-#,##0.00\ "/>
    <numFmt numFmtId="171" formatCode="_-* #,##0.0000\ _€_-;\-* #,##0.0000\ _€_-;_-* &quot;-&quot;??\ _€_-;_-@_-"/>
    <numFmt numFmtId="172" formatCode="_-* #,##0.00000\ _€_-;\-* #,##0.00000\ _€_-;_-* &quot;-&quot;??\ _€_-;_-@_-"/>
    <numFmt numFmtId="173" formatCode="_-* #,##0.0\ _€_-;\-* #,##0.0\ _€_-;_-* &quot;-&quot;?\ _€_-;_-@_-"/>
    <numFmt numFmtId="174" formatCode="_-* #,##0.000000\ _€_-;\-* #,##0.000000\ _€_-;_-* &quot;-&quot;??\ _€_-;_-@_-"/>
    <numFmt numFmtId="175" formatCode="_-* #,##0.0000\ _€_-;\-* #,##0.0000\ _€_-;_-* &quot;-&quot;?\ _€_-;_-@_-"/>
    <numFmt numFmtId="176" formatCode="0.000"/>
    <numFmt numFmtId="177" formatCode="_-* #,##0.000\ _€_-;\-* #,##0.000\ _€_-;_-* &quot;-&quot;???\ _€_-;_-@_-"/>
    <numFmt numFmtId="178" formatCode="0.0000"/>
    <numFmt numFmtId="179" formatCode="0.0000%"/>
  </numFmts>
  <fonts count="1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8000"/>
      <name val="Calibri"/>
      <family val="2"/>
      <scheme val="minor"/>
    </font>
    <font>
      <i/>
      <sz val="10"/>
      <color rgb="FF008000"/>
      <name val="Calibri"/>
      <family val="2"/>
      <scheme val="minor"/>
    </font>
    <font>
      <sz val="10"/>
      <color rgb="FF669900"/>
      <name val="Calibri"/>
      <family val="2"/>
      <scheme val="minor"/>
    </font>
    <font>
      <i/>
      <sz val="10"/>
      <color rgb="FF6699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9900"/>
      <name val="Calibri"/>
      <family val="2"/>
      <scheme val="minor"/>
    </font>
    <font>
      <i/>
      <sz val="10"/>
      <color rgb="FF0099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669900"/>
      <name val="Calibri"/>
      <family val="2"/>
      <scheme val="minor"/>
    </font>
    <font>
      <b/>
      <sz val="10"/>
      <color indexed="5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52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10"/>
      <color indexed="57"/>
      <name val="Calibri"/>
      <family val="2"/>
      <scheme val="minor"/>
    </font>
    <font>
      <sz val="10"/>
      <color indexed="63"/>
      <name val="Calibri"/>
      <family val="2"/>
      <scheme val="minor"/>
    </font>
    <font>
      <b/>
      <vertAlign val="subscript"/>
      <sz val="10"/>
      <name val="Calibri"/>
      <family val="2"/>
    </font>
    <font>
      <sz val="10"/>
      <color indexed="2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b/>
      <sz val="9"/>
      <name val="Calibri"/>
      <family val="2"/>
      <scheme val="minor"/>
    </font>
    <font>
      <b/>
      <i/>
      <sz val="9"/>
      <name val="Calibri"/>
      <family val="2"/>
    </font>
    <font>
      <vertAlign val="subscript"/>
      <sz val="10"/>
      <name val="Calibri"/>
      <family val="2"/>
    </font>
    <font>
      <vertAlign val="superscript"/>
      <sz val="10"/>
      <name val="Calibri"/>
      <family val="2"/>
    </font>
    <font>
      <b/>
      <sz val="10"/>
      <color indexed="14"/>
      <name val="Calibri"/>
      <family val="2"/>
      <scheme val="minor"/>
    </font>
    <font>
      <sz val="10"/>
      <color indexed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61"/>
      <name val="Calibri"/>
      <family val="2"/>
      <scheme val="minor"/>
    </font>
    <font>
      <sz val="9"/>
      <name val="Calibri"/>
      <family val="2"/>
      <scheme val="minor"/>
    </font>
    <font>
      <sz val="6"/>
      <color rgb="FF669900"/>
      <name val="Calibri"/>
      <family val="2"/>
      <scheme val="minor"/>
    </font>
    <font>
      <sz val="6"/>
      <color rgb="FF009900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9900"/>
      <name val="Calibri"/>
      <family val="2"/>
      <scheme val="minor"/>
    </font>
    <font>
      <b/>
      <sz val="12"/>
      <color indexed="60"/>
      <name val="Calibri"/>
      <family val="2"/>
    </font>
    <font>
      <b/>
      <sz val="12"/>
      <name val="Calibri"/>
      <family val="2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6699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6"/>
      <color rgb="FF669900"/>
      <name val="Calibri"/>
      <family val="2"/>
      <scheme val="minor"/>
    </font>
    <font>
      <b/>
      <sz val="16"/>
      <color rgb="FF00800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00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4"/>
      <name val="Calibri"/>
      <family val="2"/>
    </font>
    <font>
      <b/>
      <sz val="10"/>
      <color indexed="57"/>
      <name val="Calibri"/>
      <family val="2"/>
    </font>
    <font>
      <b/>
      <sz val="10"/>
      <color rgb="FF0000FF"/>
      <name val="Calibri"/>
      <family val="2"/>
    </font>
    <font>
      <sz val="8"/>
      <color indexed="12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1"/>
      <color rgb="FFFF0066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993300"/>
      <name val="Calibri"/>
      <family val="2"/>
      <scheme val="minor"/>
    </font>
    <font>
      <b/>
      <sz val="12"/>
      <color theme="1"/>
      <name val="Calibri"/>
      <family val="2"/>
    </font>
    <font>
      <vertAlign val="subscript"/>
      <sz val="11"/>
      <name val="Calibri"/>
      <family val="2"/>
      <scheme val="minor"/>
    </font>
    <font>
      <vertAlign val="subscript"/>
      <sz val="11"/>
      <name val="Calibri"/>
      <family val="2"/>
    </font>
    <font>
      <i/>
      <sz val="11"/>
      <name val="Calibri"/>
      <family val="2"/>
    </font>
    <font>
      <b/>
      <u/>
      <sz val="10"/>
      <name val="Calibri"/>
      <family val="2"/>
      <scheme val="minor"/>
    </font>
    <font>
      <sz val="12"/>
      <color rgb="FF008000"/>
      <name val="Calibri"/>
      <family val="2"/>
      <scheme val="minor"/>
    </font>
    <font>
      <b/>
      <i/>
      <sz val="11"/>
      <color rgb="FFFF3399"/>
      <name val="Calibri"/>
      <family val="2"/>
      <scheme val="minor"/>
    </font>
    <font>
      <b/>
      <i/>
      <vertAlign val="superscript"/>
      <sz val="11"/>
      <color rgb="FFFF3399"/>
      <name val="Calibri"/>
      <family val="2"/>
    </font>
    <font>
      <b/>
      <sz val="11"/>
      <color rgb="FFFF3399"/>
      <name val="Calibri"/>
      <family val="2"/>
    </font>
    <font>
      <u/>
      <sz val="10"/>
      <color theme="1"/>
      <name val="Calibri"/>
      <family val="2"/>
      <scheme val="minor"/>
    </font>
    <font>
      <b/>
      <i/>
      <vertAlign val="superscript"/>
      <sz val="10"/>
      <name val="Calibri"/>
      <family val="2"/>
    </font>
    <font>
      <sz val="10"/>
      <color rgb="FF669900"/>
      <name val="Calibri"/>
      <family val="2"/>
    </font>
    <font>
      <sz val="10"/>
      <color rgb="FFFF9900"/>
      <name val="Calibri"/>
      <family val="2"/>
    </font>
    <font>
      <sz val="10"/>
      <color rgb="FFFF3399"/>
      <name val="Calibri"/>
      <family val="2"/>
    </font>
    <font>
      <sz val="10"/>
      <color rgb="FFFF0000"/>
      <name val="Calibri"/>
      <family val="2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3"/>
      <color indexed="60"/>
      <name val="Calibri"/>
      <family val="2"/>
    </font>
    <font>
      <b/>
      <sz val="13"/>
      <color theme="1"/>
      <name val="Calibri"/>
      <family val="2"/>
    </font>
    <font>
      <b/>
      <vertAlign val="subscript"/>
      <sz val="13"/>
      <color theme="1"/>
      <name val="Calibri"/>
      <family val="2"/>
    </font>
    <font>
      <b/>
      <sz val="13"/>
      <name val="Calibri"/>
      <family val="2"/>
    </font>
    <font>
      <sz val="12"/>
      <color theme="0" tint="-0.34998626667073579"/>
      <name val="Calibri"/>
      <family val="2"/>
      <scheme val="minor"/>
    </font>
    <font>
      <sz val="12"/>
      <name val="Calibri"/>
      <family val="2"/>
    </font>
    <font>
      <sz val="12"/>
      <color theme="0" tint="-0.34998626667073579"/>
      <name val="Calibri"/>
      <family val="2"/>
    </font>
    <font>
      <b/>
      <sz val="12"/>
      <color rgb="FF0000FF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0"/>
      <color rgb="FF99CCFF"/>
      <name val="Calibri"/>
      <family val="2"/>
      <scheme val="minor"/>
    </font>
    <font>
      <b/>
      <sz val="10"/>
      <color rgb="FF66990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u/>
      <sz val="10"/>
      <name val="Calibri"/>
      <family val="2"/>
    </font>
    <font>
      <sz val="11"/>
      <color rgb="FFFF6600"/>
      <name val="Calibri"/>
      <family val="2"/>
      <scheme val="minor"/>
    </font>
    <font>
      <b/>
      <sz val="12"/>
      <color rgb="FFFF66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66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166" fontId="7" fillId="0" borderId="0" xfId="2" applyNumberFormat="1" applyFont="1" applyAlignment="1">
      <alignment horizontal="center"/>
    </xf>
    <xf numFmtId="0" fontId="8" fillId="0" borderId="0" xfId="0" applyFont="1" applyAlignment="1">
      <alignment horizontal="right"/>
    </xf>
    <xf numFmtId="2" fontId="8" fillId="0" borderId="0" xfId="0" applyNumberFormat="1" applyFont="1"/>
    <xf numFmtId="166" fontId="9" fillId="0" borderId="0" xfId="2" applyNumberFormat="1" applyFont="1" applyAlignment="1">
      <alignment horizontal="center"/>
    </xf>
    <xf numFmtId="0" fontId="10" fillId="0" borderId="0" xfId="0" applyFont="1" applyAlignment="1">
      <alignment horizontal="right"/>
    </xf>
    <xf numFmtId="166" fontId="11" fillId="0" borderId="0" xfId="2" applyNumberFormat="1" applyFont="1" applyAlignment="1">
      <alignment horizontal="center"/>
    </xf>
    <xf numFmtId="3" fontId="3" fillId="0" borderId="7" xfId="0" applyNumberFormat="1" applyFont="1" applyBorder="1"/>
    <xf numFmtId="0" fontId="14" fillId="0" borderId="0" xfId="0" applyFont="1" applyAlignment="1">
      <alignment vertical="center"/>
    </xf>
    <xf numFmtId="0" fontId="0" fillId="0" borderId="0" xfId="0" applyBorder="1"/>
    <xf numFmtId="166" fontId="14" fillId="0" borderId="0" xfId="2" applyNumberFormat="1" applyFont="1" applyAlignment="1">
      <alignment horizontal="left" vertical="center"/>
    </xf>
    <xf numFmtId="0" fontId="14" fillId="0" borderId="0" xfId="0" applyFont="1"/>
    <xf numFmtId="1" fontId="14" fillId="3" borderId="0" xfId="0" applyNumberFormat="1" applyFont="1" applyFill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9" fontId="16" fillId="0" borderId="0" xfId="2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top" wrapText="1"/>
    </xf>
    <xf numFmtId="0" fontId="1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wrapText="1"/>
    </xf>
    <xf numFmtId="2" fontId="6" fillId="2" borderId="7" xfId="0" applyNumberFormat="1" applyFont="1" applyFill="1" applyBorder="1" applyAlignment="1">
      <alignment vertical="center"/>
    </xf>
    <xf numFmtId="1" fontId="6" fillId="0" borderId="7" xfId="0" applyNumberFormat="1" applyFont="1" applyBorder="1" applyAlignment="1">
      <alignment vertical="center"/>
    </xf>
    <xf numFmtId="166" fontId="7" fillId="0" borderId="0" xfId="2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 wrapText="1"/>
    </xf>
    <xf numFmtId="0" fontId="15" fillId="0" borderId="7" xfId="0" applyFont="1" applyBorder="1" applyAlignment="1">
      <alignment horizontal="right" wrapText="1"/>
    </xf>
    <xf numFmtId="2" fontId="15" fillId="2" borderId="7" xfId="0" applyNumberFormat="1" applyFont="1" applyFill="1" applyBorder="1" applyAlignment="1">
      <alignment vertical="center"/>
    </xf>
    <xf numFmtId="166" fontId="11" fillId="0" borderId="0" xfId="2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right" wrapText="1"/>
    </xf>
    <xf numFmtId="2" fontId="10" fillId="2" borderId="7" xfId="0" applyNumberFormat="1" applyFont="1" applyFill="1" applyBorder="1" applyAlignment="1">
      <alignment vertical="center"/>
    </xf>
    <xf numFmtId="1" fontId="10" fillId="0" borderId="7" xfId="0" applyNumberFormat="1" applyFont="1" applyBorder="1" applyAlignment="1">
      <alignment vertical="center"/>
    </xf>
    <xf numFmtId="166" fontId="11" fillId="0" borderId="0" xfId="2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vertical="center"/>
    </xf>
    <xf numFmtId="1" fontId="17" fillId="0" borderId="7" xfId="0" applyNumberFormat="1" applyFont="1" applyBorder="1" applyAlignment="1">
      <alignment horizontal="right" vertical="center"/>
    </xf>
    <xf numFmtId="9" fontId="14" fillId="0" borderId="0" xfId="0" applyNumberFormat="1" applyFont="1"/>
    <xf numFmtId="0" fontId="14" fillId="0" borderId="0" xfId="0" applyFont="1" applyAlignment="1">
      <alignment horizontal="left" vertical="top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13" fillId="0" borderId="0" xfId="0" applyFont="1"/>
    <xf numFmtId="0" fontId="0" fillId="0" borderId="0" xfId="0" applyFill="1" applyBorder="1"/>
    <xf numFmtId="0" fontId="0" fillId="5" borderId="7" xfId="0" applyFill="1" applyBorder="1"/>
    <xf numFmtId="0" fontId="20" fillId="0" borderId="0" xfId="0" applyFont="1" applyAlignment="1">
      <alignment horizontal="center" vertical="center"/>
    </xf>
    <xf numFmtId="0" fontId="0" fillId="0" borderId="0" xfId="0" applyFill="1"/>
    <xf numFmtId="168" fontId="3" fillId="0" borderId="0" xfId="1" applyNumberFormat="1" applyFont="1" applyFill="1" applyBorder="1" applyAlignment="1"/>
    <xf numFmtId="168" fontId="21" fillId="0" borderId="0" xfId="1" applyNumberFormat="1" applyFont="1" applyFill="1" applyBorder="1" applyAlignment="1"/>
    <xf numFmtId="168" fontId="22" fillId="0" borderId="0" xfId="0" applyNumberFormat="1" applyFont="1" applyFill="1" applyBorder="1" applyAlignment="1">
      <alignment horizontal="left"/>
    </xf>
    <xf numFmtId="2" fontId="2" fillId="0" borderId="0" xfId="0" applyNumberFormat="1" applyFont="1" applyBorder="1"/>
    <xf numFmtId="10" fontId="23" fillId="0" borderId="0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/>
    </xf>
    <xf numFmtId="18" fontId="2" fillId="0" borderId="0" xfId="1" applyNumberFormat="1" applyFont="1" applyBorder="1" applyAlignment="1">
      <alignment horizontal="center"/>
    </xf>
    <xf numFmtId="43" fontId="2" fillId="0" borderId="0" xfId="0" applyNumberFormat="1" applyFont="1"/>
    <xf numFmtId="43" fontId="2" fillId="0" borderId="0" xfId="1" applyFont="1" applyFill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3" fontId="2" fillId="0" borderId="0" xfId="1" applyFont="1" applyFill="1" applyBorder="1" applyAlignment="1">
      <alignment horizontal="center" vertical="center" wrapText="1"/>
    </xf>
    <xf numFmtId="10" fontId="2" fillId="0" borderId="0" xfId="2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2" fillId="0" borderId="0" xfId="2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3" fontId="3" fillId="0" borderId="15" xfId="1" applyFont="1" applyFill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170" fontId="2" fillId="0" borderId="7" xfId="1" applyNumberFormat="1" applyFont="1" applyFill="1" applyBorder="1" applyAlignment="1">
      <alignment horizontal="center" vertical="center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1" xfId="1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166" fontId="3" fillId="0" borderId="7" xfId="2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3" fontId="32" fillId="0" borderId="0" xfId="1" applyFont="1" applyFill="1" applyBorder="1"/>
    <xf numFmtId="16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43" fontId="32" fillId="0" borderId="0" xfId="1" applyFont="1" applyFill="1" applyAlignment="1">
      <alignment horizontal="right"/>
    </xf>
    <xf numFmtId="0" fontId="32" fillId="0" borderId="0" xfId="0" applyFont="1" applyFill="1" applyBorder="1"/>
    <xf numFmtId="43" fontId="2" fillId="0" borderId="0" xfId="0" applyNumberFormat="1" applyFont="1" applyFill="1"/>
    <xf numFmtId="171" fontId="2" fillId="0" borderId="0" xfId="0" applyNumberFormat="1" applyFont="1" applyFill="1" applyBorder="1" applyAlignment="1">
      <alignment horizontal="center" vertical="center" wrapText="1"/>
    </xf>
    <xf numFmtId="172" fontId="2" fillId="0" borderId="0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3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43" fontId="2" fillId="0" borderId="0" xfId="1" applyFont="1" applyBorder="1" applyAlignment="1">
      <alignment horizontal="center"/>
    </xf>
    <xf numFmtId="174" fontId="2" fillId="0" borderId="0" xfId="1" applyNumberFormat="1" applyFont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0" fontId="3" fillId="0" borderId="0" xfId="2" applyNumberFormat="1" applyFont="1" applyFill="1" applyBorder="1" applyAlignment="1"/>
    <xf numFmtId="174" fontId="2" fillId="0" borderId="0" xfId="1" applyNumberFormat="1" applyFont="1" applyFill="1" applyBorder="1" applyAlignment="1">
      <alignment horizontal="center"/>
    </xf>
    <xf numFmtId="43" fontId="3" fillId="0" borderId="0" xfId="1" applyFont="1" applyFill="1" applyBorder="1" applyAlignment="1"/>
    <xf numFmtId="0" fontId="2" fillId="0" borderId="0" xfId="0" applyFont="1" applyFill="1" applyBorder="1" applyAlignment="1">
      <alignment horizontal="left"/>
    </xf>
    <xf numFmtId="0" fontId="33" fillId="0" borderId="0" xfId="0" applyFont="1"/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43" fontId="36" fillId="0" borderId="2" xfId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174" fontId="2" fillId="0" borderId="2" xfId="1" applyNumberFormat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3" fillId="0" borderId="2" xfId="1" applyFont="1" applyFill="1" applyBorder="1" applyAlignment="1"/>
    <xf numFmtId="43" fontId="3" fillId="0" borderId="3" xfId="1" applyFont="1" applyFill="1" applyBorder="1" applyAlignment="1"/>
    <xf numFmtId="0" fontId="2" fillId="0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" fontId="2" fillId="0" borderId="23" xfId="0" applyNumberFormat="1" applyFont="1" applyFill="1" applyBorder="1" applyAlignment="1">
      <alignment horizontal="center" vertical="center" wrapText="1"/>
    </xf>
    <xf numFmtId="43" fontId="3" fillId="0" borderId="22" xfId="1" applyFont="1" applyFill="1" applyBorder="1" applyAlignment="1"/>
    <xf numFmtId="10" fontId="2" fillId="0" borderId="23" xfId="2" applyNumberFormat="1" applyFont="1" applyFill="1" applyBorder="1"/>
    <xf numFmtId="0" fontId="2" fillId="0" borderId="22" xfId="0" applyFont="1" applyBorder="1"/>
    <xf numFmtId="2" fontId="2" fillId="0" borderId="23" xfId="1" applyNumberFormat="1" applyFont="1" applyFill="1" applyBorder="1" applyAlignment="1">
      <alignment horizontal="center" vertical="center" wrapText="1"/>
    </xf>
    <xf numFmtId="0" fontId="2" fillId="0" borderId="22" xfId="0" applyFont="1" applyFill="1" applyBorder="1"/>
    <xf numFmtId="175" fontId="2" fillId="0" borderId="23" xfId="0" applyNumberFormat="1" applyFont="1" applyBorder="1"/>
    <xf numFmtId="166" fontId="2" fillId="0" borderId="23" xfId="2" applyNumberFormat="1" applyFont="1" applyFill="1" applyBorder="1" applyAlignment="1">
      <alignment horizontal="center" vertical="center" wrapText="1"/>
    </xf>
    <xf numFmtId="169" fontId="3" fillId="0" borderId="23" xfId="1" applyNumberFormat="1" applyFont="1" applyFill="1" applyBorder="1"/>
    <xf numFmtId="0" fontId="3" fillId="0" borderId="0" xfId="0" applyFont="1" applyAlignment="1">
      <alignment horizontal="left"/>
    </xf>
    <xf numFmtId="165" fontId="2" fillId="0" borderId="0" xfId="0" applyNumberFormat="1" applyFont="1" applyFill="1" applyBorder="1"/>
    <xf numFmtId="176" fontId="2" fillId="0" borderId="23" xfId="0" applyNumberFormat="1" applyFont="1" applyFill="1" applyBorder="1" applyAlignment="1">
      <alignment horizontal="center" vertical="center" wrapText="1"/>
    </xf>
    <xf numFmtId="171" fontId="2" fillId="8" borderId="23" xfId="1" applyNumberFormat="1" applyFont="1" applyFill="1" applyBorder="1"/>
    <xf numFmtId="0" fontId="3" fillId="0" borderId="0" xfId="0" applyFont="1" applyBorder="1"/>
    <xf numFmtId="166" fontId="2" fillId="0" borderId="0" xfId="2" applyNumberFormat="1" applyFont="1" applyAlignment="1">
      <alignment horizontal="center" vertical="center" wrapText="1"/>
    </xf>
    <xf numFmtId="10" fontId="2" fillId="3" borderId="23" xfId="2" applyNumberFormat="1" applyFont="1" applyFill="1" applyBorder="1" applyAlignment="1">
      <alignment horizontal="center" vertical="center" wrapText="1"/>
    </xf>
    <xf numFmtId="174" fontId="2" fillId="0" borderId="0" xfId="0" applyNumberFormat="1" applyFont="1" applyBorder="1"/>
    <xf numFmtId="10" fontId="40" fillId="0" borderId="23" xfId="0" applyNumberFormat="1" applyFont="1" applyBorder="1"/>
    <xf numFmtId="0" fontId="41" fillId="0" borderId="0" xfId="0" applyFont="1" applyBorder="1"/>
    <xf numFmtId="49" fontId="4" fillId="0" borderId="0" xfId="0" applyNumberFormat="1" applyFont="1"/>
    <xf numFmtId="10" fontId="2" fillId="0" borderId="4" xfId="2" applyNumberFormat="1" applyFont="1" applyBorder="1" applyAlignment="1">
      <alignment horizontal="center" vertical="center" wrapText="1"/>
    </xf>
    <xf numFmtId="0" fontId="41" fillId="0" borderId="5" xfId="0" applyFont="1" applyBorder="1"/>
    <xf numFmtId="0" fontId="2" fillId="0" borderId="5" xfId="0" applyFont="1" applyBorder="1"/>
    <xf numFmtId="177" fontId="2" fillId="0" borderId="5" xfId="0" applyNumberFormat="1" applyFont="1" applyBorder="1"/>
    <xf numFmtId="0" fontId="2" fillId="0" borderId="6" xfId="0" applyFont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10" fontId="2" fillId="0" borderId="0" xfId="0" applyNumberFormat="1" applyFont="1"/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178" fontId="2" fillId="0" borderId="2" xfId="1" applyNumberFormat="1" applyFont="1" applyBorder="1" applyAlignment="1">
      <alignment horizontal="center" vertical="center"/>
    </xf>
    <xf numFmtId="2" fontId="2" fillId="0" borderId="2" xfId="0" applyNumberFormat="1" applyFont="1" applyBorder="1"/>
    <xf numFmtId="10" fontId="24" fillId="0" borderId="0" xfId="2" applyNumberFormat="1" applyFont="1" applyFill="1" applyBorder="1" applyAlignment="1">
      <alignment horizontal="right"/>
    </xf>
    <xf numFmtId="43" fontId="3" fillId="0" borderId="23" xfId="1" applyFont="1" applyFill="1" applyBorder="1" applyAlignment="1">
      <alignment horizontal="center" vertical="center" wrapText="1"/>
    </xf>
    <xf numFmtId="0" fontId="28" fillId="0" borderId="0" xfId="0" applyFont="1" applyFill="1" applyBorder="1"/>
    <xf numFmtId="43" fontId="2" fillId="0" borderId="0" xfId="1" applyFont="1" applyFill="1" applyBorder="1" applyAlignment="1"/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3" fontId="2" fillId="0" borderId="0" xfId="0" applyNumberFormat="1" applyFont="1" applyFill="1" applyBorder="1" applyAlignment="1">
      <alignment horizontal="left" vertical="center"/>
    </xf>
    <xf numFmtId="169" fontId="2" fillId="0" borderId="0" xfId="0" applyNumberFormat="1" applyFont="1" applyFill="1" applyBorder="1"/>
    <xf numFmtId="43" fontId="2" fillId="0" borderId="0" xfId="0" applyNumberFormat="1" applyFont="1" applyFill="1" applyBorder="1"/>
    <xf numFmtId="43" fontId="2" fillId="0" borderId="5" xfId="1" applyFont="1" applyFill="1" applyBorder="1" applyAlignment="1">
      <alignment horizontal="center"/>
    </xf>
    <xf numFmtId="43" fontId="3" fillId="0" borderId="5" xfId="1" applyFont="1" applyFill="1" applyBorder="1" applyAlignment="1"/>
    <xf numFmtId="0" fontId="42" fillId="0" borderId="0" xfId="0" applyFont="1" applyFill="1" applyAlignment="1">
      <alignment horizontal="left" vertical="center"/>
    </xf>
    <xf numFmtId="0" fontId="43" fillId="0" borderId="0" xfId="0" applyFont="1" applyFill="1" applyBorder="1"/>
    <xf numFmtId="49" fontId="2" fillId="0" borderId="0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3" fontId="28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3" fillId="0" borderId="7" xfId="0" applyFont="1" applyBorder="1" applyAlignment="1">
      <alignment horizontal="left" vertical="center"/>
    </xf>
    <xf numFmtId="168" fontId="23" fillId="0" borderId="7" xfId="1" applyNumberFormat="1" applyFont="1" applyFill="1" applyBorder="1"/>
    <xf numFmtId="0" fontId="22" fillId="0" borderId="7" xfId="0" applyFont="1" applyFill="1" applyBorder="1" applyAlignment="1">
      <alignment horizontal="right" vertical="center"/>
    </xf>
    <xf numFmtId="43" fontId="2" fillId="0" borderId="7" xfId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/>
    <xf numFmtId="0" fontId="3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168" fontId="3" fillId="0" borderId="7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8" fontId="25" fillId="0" borderId="7" xfId="1" applyNumberFormat="1" applyFont="1" applyFill="1" applyBorder="1"/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68" fontId="3" fillId="0" borderId="0" xfId="0" applyNumberFormat="1" applyFont="1" applyFill="1" applyBorder="1" applyAlignment="1">
      <alignment horizontal="center"/>
    </xf>
    <xf numFmtId="168" fontId="23" fillId="0" borderId="0" xfId="1" applyNumberFormat="1" applyFont="1" applyFill="1" applyBorder="1"/>
    <xf numFmtId="168" fontId="25" fillId="0" borderId="0" xfId="1" applyNumberFormat="1" applyFont="1" applyFill="1" applyBorder="1"/>
    <xf numFmtId="168" fontId="33" fillId="0" borderId="0" xfId="0" applyNumberFormat="1" applyFont="1" applyFill="1" applyBorder="1"/>
    <xf numFmtId="168" fontId="2" fillId="0" borderId="0" xfId="1" applyNumberFormat="1" applyFont="1" applyAlignment="1">
      <alignment horizontal="center" vertical="center" wrapText="1"/>
    </xf>
    <xf numFmtId="43" fontId="44" fillId="0" borderId="7" xfId="1" applyFont="1" applyBorder="1"/>
    <xf numFmtId="0" fontId="25" fillId="0" borderId="0" xfId="0" applyFont="1" applyAlignment="1">
      <alignment horizontal="right"/>
    </xf>
    <xf numFmtId="43" fontId="3" fillId="0" borderId="0" xfId="1" applyFont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43" fontId="2" fillId="0" borderId="0" xfId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3" fontId="3" fillId="0" borderId="7" xfId="0" applyNumberFormat="1" applyFont="1" applyBorder="1"/>
    <xf numFmtId="43" fontId="2" fillId="0" borderId="0" xfId="0" applyNumberFormat="1" applyFont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169" fontId="3" fillId="3" borderId="7" xfId="1" applyNumberFormat="1" applyFont="1" applyFill="1" applyBorder="1"/>
    <xf numFmtId="17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9" fontId="2" fillId="0" borderId="0" xfId="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/>
    </xf>
    <xf numFmtId="168" fontId="2" fillId="0" borderId="0" xfId="0" applyNumberFormat="1" applyFont="1" applyFill="1" applyBorder="1"/>
    <xf numFmtId="2" fontId="2" fillId="0" borderId="0" xfId="0" applyNumberFormat="1" applyFont="1" applyFill="1" applyBorder="1"/>
    <xf numFmtId="10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/>
    <xf numFmtId="16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0" fontId="2" fillId="0" borderId="22" xfId="0" applyNumberFormat="1" applyFont="1" applyFill="1" applyBorder="1" applyAlignment="1">
      <alignment horizontal="center" vertical="center" wrapText="1"/>
    </xf>
    <xf numFmtId="169" fontId="2" fillId="0" borderId="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2" fillId="0" borderId="23" xfId="0" applyFont="1" applyFill="1" applyBorder="1"/>
    <xf numFmtId="49" fontId="2" fillId="0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49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9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10" fontId="2" fillId="0" borderId="7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0" fontId="14" fillId="0" borderId="20" xfId="0" applyNumberFormat="1" applyFont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9" fontId="14" fillId="0" borderId="0" xfId="0" applyNumberFormat="1" applyFont="1" applyBorder="1" applyAlignment="1">
      <alignment horizontal="center"/>
    </xf>
    <xf numFmtId="164" fontId="14" fillId="2" borderId="21" xfId="0" applyNumberFormat="1" applyFont="1" applyFill="1" applyBorder="1" applyAlignment="1">
      <alignment horizontal="center"/>
    </xf>
    <xf numFmtId="164" fontId="15" fillId="2" borderId="25" xfId="0" applyNumberFormat="1" applyFont="1" applyFill="1" applyBorder="1" applyAlignment="1">
      <alignment horizontal="center" vertical="center"/>
    </xf>
    <xf numFmtId="0" fontId="27" fillId="9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" fontId="46" fillId="0" borderId="7" xfId="0" applyNumberFormat="1" applyFont="1" applyFill="1" applyBorder="1" applyAlignment="1">
      <alignment horizontal="center" vertical="center" wrapText="1"/>
    </xf>
    <xf numFmtId="1" fontId="47" fillId="0" borderId="7" xfId="0" applyNumberFormat="1" applyFont="1" applyFill="1" applyBorder="1" applyAlignment="1">
      <alignment horizontal="center" vertical="center" wrapText="1"/>
    </xf>
    <xf numFmtId="1" fontId="48" fillId="0" borderId="7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right" vertical="center" wrapText="1"/>
    </xf>
    <xf numFmtId="1" fontId="14" fillId="0" borderId="14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45" fillId="2" borderId="7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right" vertical="center" wrapText="1"/>
    </xf>
    <xf numFmtId="0" fontId="0" fillId="0" borderId="34" xfId="0" applyBorder="1"/>
    <xf numFmtId="0" fontId="0" fillId="0" borderId="0" xfId="0" applyAlignment="1">
      <alignment horizontal="center"/>
    </xf>
    <xf numFmtId="0" fontId="20" fillId="0" borderId="0" xfId="0" applyFont="1"/>
    <xf numFmtId="0" fontId="12" fillId="0" borderId="0" xfId="0" applyFont="1"/>
    <xf numFmtId="2" fontId="2" fillId="0" borderId="7" xfId="0" applyNumberFormat="1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distributed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2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distributed"/>
    </xf>
    <xf numFmtId="0" fontId="26" fillId="0" borderId="0" xfId="0" applyFont="1" applyFill="1" applyBorder="1"/>
    <xf numFmtId="3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textRotation="90"/>
    </xf>
    <xf numFmtId="0" fontId="26" fillId="0" borderId="0" xfId="0" applyNumberFormat="1" applyFont="1" applyAlignment="1">
      <alignment horizontal="center" vertical="center"/>
    </xf>
    <xf numFmtId="0" fontId="26" fillId="0" borderId="0" xfId="2" applyNumberFormat="1" applyFont="1" applyFill="1" applyBorder="1" applyAlignment="1">
      <alignment horizontal="center" vertical="center"/>
    </xf>
    <xf numFmtId="0" fontId="26" fillId="0" borderId="0" xfId="1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3" fontId="26" fillId="0" borderId="0" xfId="0" applyNumberFormat="1" applyFont="1"/>
    <xf numFmtId="0" fontId="27" fillId="0" borderId="0" xfId="0" applyFont="1" applyFill="1"/>
    <xf numFmtId="169" fontId="27" fillId="0" borderId="0" xfId="1" applyNumberFormat="1" applyFont="1" applyFill="1" applyBorder="1" applyAlignment="1">
      <alignment horizontal="center"/>
    </xf>
    <xf numFmtId="0" fontId="26" fillId="0" borderId="0" xfId="0" applyFont="1" applyFill="1" applyAlignment="1">
      <alignment vertical="center"/>
    </xf>
    <xf numFmtId="10" fontId="26" fillId="0" borderId="7" xfId="2" applyNumberFormat="1" applyFont="1" applyFill="1" applyBorder="1" applyAlignment="1">
      <alignment horizontal="center" vertical="center"/>
    </xf>
    <xf numFmtId="43" fontId="27" fillId="0" borderId="0" xfId="1" applyFont="1" applyFill="1" applyBorder="1" applyAlignment="1"/>
    <xf numFmtId="171" fontId="26" fillId="0" borderId="0" xfId="1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10" fontId="65" fillId="0" borderId="0" xfId="0" applyNumberFormat="1" applyFont="1" applyFill="1" applyBorder="1" applyAlignment="1">
      <alignment horizontal="center"/>
    </xf>
    <xf numFmtId="174" fontId="26" fillId="0" borderId="0" xfId="0" applyNumberFormat="1" applyFont="1" applyFill="1" applyBorder="1"/>
    <xf numFmtId="0" fontId="26" fillId="0" borderId="7" xfId="0" applyFont="1" applyFill="1" applyBorder="1" applyAlignment="1">
      <alignment horizontal="center" vertical="center"/>
    </xf>
    <xf numFmtId="10" fontId="26" fillId="0" borderId="9" xfId="0" applyNumberFormat="1" applyFont="1" applyFill="1" applyBorder="1" applyAlignment="1">
      <alignment horizontal="center" vertical="center"/>
    </xf>
    <xf numFmtId="10" fontId="26" fillId="0" borderId="7" xfId="0" applyNumberFormat="1" applyFont="1" applyFill="1" applyBorder="1" applyAlignment="1">
      <alignment horizontal="center" vertical="center"/>
    </xf>
    <xf numFmtId="1" fontId="26" fillId="0" borderId="9" xfId="0" applyNumberFormat="1" applyFont="1" applyFill="1" applyBorder="1" applyAlignment="1">
      <alignment horizontal="center" vertical="center"/>
    </xf>
    <xf numFmtId="1" fontId="26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3" fontId="26" fillId="0" borderId="0" xfId="0" applyNumberFormat="1" applyFont="1" applyFill="1"/>
    <xf numFmtId="43" fontId="26" fillId="0" borderId="0" xfId="1" applyFont="1" applyFill="1" applyBorder="1"/>
    <xf numFmtId="43" fontId="27" fillId="0" borderId="0" xfId="1" applyFont="1" applyFill="1" applyBorder="1" applyAlignment="1">
      <alignment horizontal="right"/>
    </xf>
    <xf numFmtId="2" fontId="27" fillId="0" borderId="0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10" fontId="26" fillId="0" borderId="2" xfId="2" applyNumberFormat="1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/>
    </xf>
    <xf numFmtId="0" fontId="2" fillId="0" borderId="23" xfId="0" applyFont="1" applyFill="1" applyBorder="1" applyAlignment="1"/>
    <xf numFmtId="10" fontId="26" fillId="0" borderId="0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10" fontId="26" fillId="0" borderId="0" xfId="2" applyNumberFormat="1" applyFont="1" applyFill="1" applyBorder="1" applyAlignment="1">
      <alignment horizontal="center"/>
    </xf>
    <xf numFmtId="1" fontId="26" fillId="0" borderId="22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 vertical="distributed"/>
    </xf>
    <xf numFmtId="0" fontId="2" fillId="0" borderId="4" xfId="0" applyFont="1" applyFill="1" applyBorder="1" applyAlignment="1"/>
    <xf numFmtId="0" fontId="27" fillId="0" borderId="0" xfId="0" applyFont="1"/>
    <xf numFmtId="0" fontId="27" fillId="9" borderId="7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distributed"/>
    </xf>
    <xf numFmtId="10" fontId="2" fillId="0" borderId="7" xfId="2" applyNumberFormat="1" applyFont="1" applyBorder="1" applyAlignment="1">
      <alignment horizontal="center" vertical="distributed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Border="1" applyAlignment="1">
      <alignment horizontal="center" vertical="distributed"/>
    </xf>
    <xf numFmtId="0" fontId="26" fillId="0" borderId="0" xfId="0" applyFont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Border="1"/>
    <xf numFmtId="0" fontId="26" fillId="0" borderId="0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43" fontId="26" fillId="0" borderId="7" xfId="1" applyFont="1" applyFill="1" applyBorder="1" applyAlignment="1">
      <alignment vertical="center" wrapText="1"/>
    </xf>
    <xf numFmtId="43" fontId="26" fillId="0" borderId="0" xfId="1" applyFont="1" applyFill="1" applyBorder="1" applyAlignment="1">
      <alignment horizontal="right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168" fontId="2" fillId="0" borderId="7" xfId="1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distributed"/>
    </xf>
    <xf numFmtId="0" fontId="26" fillId="0" borderId="1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" fontId="26" fillId="0" borderId="2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vertical="center"/>
    </xf>
    <xf numFmtId="164" fontId="26" fillId="0" borderId="7" xfId="0" applyNumberFormat="1" applyFont="1" applyFill="1" applyBorder="1" applyAlignment="1">
      <alignment horizontal="center" vertical="center" wrapText="1"/>
    </xf>
    <xf numFmtId="2" fontId="26" fillId="0" borderId="0" xfId="0" applyNumberFormat="1" applyFont="1"/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6" fontId="9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66" fontId="11" fillId="0" borderId="0" xfId="2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2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0" fontId="42" fillId="4" borderId="7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79" fontId="26" fillId="0" borderId="7" xfId="2" applyNumberFormat="1" applyFont="1" applyFill="1" applyBorder="1" applyAlignment="1">
      <alignment horizontal="center" vertical="center"/>
    </xf>
    <xf numFmtId="0" fontId="0" fillId="11" borderId="7" xfId="0" applyFill="1" applyBorder="1"/>
    <xf numFmtId="164" fontId="10" fillId="2" borderId="26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3" fillId="0" borderId="7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/>
    </xf>
    <xf numFmtId="0" fontId="0" fillId="12" borderId="7" xfId="0" applyFill="1" applyBorder="1"/>
    <xf numFmtId="0" fontId="42" fillId="0" borderId="0" xfId="0" applyFont="1"/>
    <xf numFmtId="0" fontId="0" fillId="0" borderId="7" xfId="0" applyFill="1" applyBorder="1"/>
    <xf numFmtId="0" fontId="0" fillId="0" borderId="29" xfId="0" applyFill="1" applyBorder="1"/>
    <xf numFmtId="0" fontId="0" fillId="0" borderId="31" xfId="0" applyFill="1" applyBorder="1"/>
    <xf numFmtId="0" fontId="0" fillId="0" borderId="30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27" xfId="0" applyFill="1" applyBorder="1"/>
    <xf numFmtId="0" fontId="0" fillId="0" borderId="25" xfId="0" applyFill="1" applyBorder="1"/>
    <xf numFmtId="0" fontId="0" fillId="0" borderId="26" xfId="0" applyFill="1" applyBorder="1"/>
    <xf numFmtId="0" fontId="0" fillId="12" borderId="29" xfId="0" applyFill="1" applyBorder="1"/>
    <xf numFmtId="0" fontId="0" fillId="12" borderId="31" xfId="0" applyFill="1" applyBorder="1"/>
    <xf numFmtId="0" fontId="0" fillId="12" borderId="30" xfId="0" applyFill="1" applyBorder="1"/>
    <xf numFmtId="0" fontId="0" fillId="12" borderId="43" xfId="0" applyFill="1" applyBorder="1"/>
    <xf numFmtId="0" fontId="0" fillId="12" borderId="44" xfId="0" applyFill="1" applyBorder="1"/>
    <xf numFmtId="0" fontId="0" fillId="12" borderId="27" xfId="0" applyFill="1" applyBorder="1"/>
    <xf numFmtId="0" fontId="0" fillId="12" borderId="25" xfId="0" applyFill="1" applyBorder="1"/>
    <xf numFmtId="0" fontId="0" fillId="12" borderId="26" xfId="0" applyFill="1" applyBorder="1"/>
    <xf numFmtId="9" fontId="71" fillId="0" borderId="0" xfId="0" applyNumberFormat="1" applyFont="1" applyBorder="1" applyAlignment="1">
      <alignment horizontal="center"/>
    </xf>
    <xf numFmtId="0" fontId="0" fillId="12" borderId="17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2" borderId="20" xfId="0" applyFill="1" applyBorder="1"/>
    <xf numFmtId="0" fontId="0" fillId="12" borderId="0" xfId="0" applyFill="1" applyBorder="1"/>
    <xf numFmtId="0" fontId="0" fillId="12" borderId="21" xfId="0" applyFill="1" applyBorder="1"/>
    <xf numFmtId="0" fontId="0" fillId="12" borderId="24" xfId="0" applyFill="1" applyBorder="1"/>
    <xf numFmtId="0" fontId="0" fillId="12" borderId="45" xfId="0" applyFill="1" applyBorder="1"/>
    <xf numFmtId="0" fontId="0" fillId="12" borderId="46" xfId="0" applyFill="1" applyBorder="1"/>
    <xf numFmtId="9" fontId="5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53" fillId="4" borderId="0" xfId="0" applyFont="1" applyFill="1" applyAlignment="1">
      <alignment horizontal="left" vertical="center"/>
    </xf>
    <xf numFmtId="0" fontId="3" fillId="3" borderId="7" xfId="0" applyFont="1" applyFill="1" applyBorder="1" applyAlignment="1">
      <alignment horizontal="center" vertical="center" wrapText="1"/>
    </xf>
    <xf numFmtId="164" fontId="49" fillId="4" borderId="7" xfId="0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53" fillId="0" borderId="0" xfId="0" applyFont="1" applyAlignment="1">
      <alignment vertical="center"/>
    </xf>
    <xf numFmtId="168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 wrapText="1"/>
    </xf>
    <xf numFmtId="10" fontId="2" fillId="2" borderId="14" xfId="2" applyNumberFormat="1" applyFont="1" applyFill="1" applyBorder="1" applyAlignment="1">
      <alignment horizontal="center" vertical="distributed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distributed"/>
    </xf>
    <xf numFmtId="0" fontId="27" fillId="0" borderId="0" xfId="0" applyFont="1" applyFill="1" applyBorder="1" applyAlignment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26" fillId="4" borderId="0" xfId="0" applyFont="1" applyFill="1" applyAlignment="1">
      <alignment horizontal="left" vertical="center"/>
    </xf>
    <xf numFmtId="0" fontId="26" fillId="4" borderId="0" xfId="0" applyFont="1" applyFill="1"/>
    <xf numFmtId="0" fontId="26" fillId="4" borderId="0" xfId="0" applyFont="1" applyFill="1" applyAlignment="1">
      <alignment horizontal="left"/>
    </xf>
    <xf numFmtId="0" fontId="51" fillId="0" borderId="0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7" fillId="4" borderId="0" xfId="0" applyFont="1" applyFill="1"/>
    <xf numFmtId="0" fontId="27" fillId="4" borderId="0" xfId="0" applyFont="1" applyFill="1" applyAlignment="1">
      <alignment horizontal="center"/>
    </xf>
    <xf numFmtId="0" fontId="26" fillId="4" borderId="0" xfId="0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0" fillId="4" borderId="0" xfId="0" applyFont="1" applyFill="1" applyBorder="1" applyAlignment="1">
      <alignment horizontal="left" vertical="center"/>
    </xf>
    <xf numFmtId="0" fontId="27" fillId="4" borderId="0" xfId="0" applyFont="1" applyFill="1" applyAlignment="1">
      <alignment horizontal="left" vertical="center" textRotation="90"/>
    </xf>
    <xf numFmtId="0" fontId="5" fillId="4" borderId="7" xfId="0" applyFont="1" applyFill="1" applyBorder="1" applyAlignment="1">
      <alignment horizontal="left" vertical="center" wrapText="1"/>
    </xf>
    <xf numFmtId="0" fontId="81" fillId="13" borderId="7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69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82" fillId="4" borderId="7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1" fontId="50" fillId="4" borderId="7" xfId="0" applyNumberFormat="1" applyFont="1" applyFill="1" applyBorder="1" applyAlignment="1">
      <alignment horizontal="center" vertical="center"/>
    </xf>
    <xf numFmtId="1" fontId="49" fillId="4" borderId="7" xfId="0" applyNumberFormat="1" applyFont="1" applyFill="1" applyBorder="1" applyAlignment="1">
      <alignment horizontal="center" vertical="center"/>
    </xf>
    <xf numFmtId="164" fontId="58" fillId="4" borderId="7" xfId="0" applyNumberFormat="1" applyFont="1" applyFill="1" applyBorder="1" applyAlignment="1">
      <alignment horizontal="center" vertical="center"/>
    </xf>
    <xf numFmtId="164" fontId="59" fillId="13" borderId="7" xfId="0" applyNumberFormat="1" applyFont="1" applyFill="1" applyBorder="1" applyAlignment="1">
      <alignment horizontal="center" vertical="center"/>
    </xf>
    <xf numFmtId="1" fontId="60" fillId="4" borderId="7" xfId="0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left" vertical="center" wrapText="1"/>
    </xf>
    <xf numFmtId="0" fontId="72" fillId="4" borderId="0" xfId="0" applyFont="1" applyFill="1"/>
    <xf numFmtId="164" fontId="26" fillId="0" borderId="0" xfId="0" applyNumberFormat="1" applyFont="1"/>
    <xf numFmtId="164" fontId="26" fillId="4" borderId="0" xfId="0" applyNumberFormat="1" applyFont="1" applyFill="1"/>
    <xf numFmtId="1" fontId="26" fillId="4" borderId="0" xfId="0" applyNumberFormat="1" applyFont="1" applyFill="1"/>
    <xf numFmtId="10" fontId="42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distributed"/>
    </xf>
    <xf numFmtId="0" fontId="26" fillId="4" borderId="0" xfId="0" applyFont="1" applyFill="1" applyBorder="1"/>
    <xf numFmtId="0" fontId="43" fillId="0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43" fillId="0" borderId="7" xfId="0" applyFont="1" applyFill="1" applyBorder="1" applyAlignment="1">
      <alignment horizontal="center" vertical="center"/>
    </xf>
    <xf numFmtId="0" fontId="69" fillId="0" borderId="7" xfId="0" applyFont="1" applyFill="1" applyBorder="1" applyAlignment="1">
      <alignment horizontal="center" vertical="center" wrapText="1"/>
    </xf>
    <xf numFmtId="0" fontId="91" fillId="0" borderId="7" xfId="0" applyFont="1" applyFill="1" applyBorder="1" applyAlignment="1">
      <alignment horizontal="center" vertical="center" wrapText="1"/>
    </xf>
    <xf numFmtId="164" fontId="60" fillId="0" borderId="7" xfId="0" applyNumberFormat="1" applyFont="1" applyFill="1" applyBorder="1" applyAlignment="1">
      <alignment horizontal="center" vertical="center"/>
    </xf>
    <xf numFmtId="1" fontId="60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2" fillId="0" borderId="0" xfId="0" applyFont="1" applyFill="1"/>
    <xf numFmtId="164" fontId="26" fillId="0" borderId="0" xfId="0" applyNumberFormat="1" applyFont="1" applyFill="1"/>
    <xf numFmtId="1" fontId="26" fillId="0" borderId="0" xfId="0" applyNumberFormat="1" applyFont="1" applyFill="1"/>
    <xf numFmtId="0" fontId="0" fillId="4" borderId="0" xfId="0" applyFill="1"/>
    <xf numFmtId="0" fontId="14" fillId="4" borderId="0" xfId="0" applyFont="1" applyFill="1"/>
    <xf numFmtId="49" fontId="14" fillId="4" borderId="0" xfId="0" applyNumberFormat="1" applyFont="1" applyFill="1"/>
    <xf numFmtId="0" fontId="73" fillId="4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right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164" fontId="93" fillId="0" borderId="0" xfId="0" applyNumberFormat="1" applyFont="1" applyAlignment="1">
      <alignment horizontal="left"/>
    </xf>
    <xf numFmtId="0" fontId="93" fillId="0" borderId="0" xfId="0" applyFont="1" applyAlignment="1">
      <alignment horizontal="left"/>
    </xf>
    <xf numFmtId="164" fontId="93" fillId="0" borderId="0" xfId="0" applyNumberFormat="1" applyFont="1"/>
    <xf numFmtId="0" fontId="93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94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13" fillId="2" borderId="9" xfId="0" applyFont="1" applyFill="1" applyBorder="1"/>
    <xf numFmtId="0" fontId="13" fillId="0" borderId="0" xfId="0" applyFont="1" applyAlignment="1">
      <alignment vertical="center"/>
    </xf>
    <xf numFmtId="0" fontId="9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0" fillId="0" borderId="16" xfId="0" applyFont="1" applyBorder="1" applyAlignment="1">
      <alignment horizontal="center" vertical="center"/>
    </xf>
    <xf numFmtId="0" fontId="0" fillId="6" borderId="41" xfId="0" applyFill="1" applyBorder="1" applyAlignment="1">
      <alignment horizontal="center"/>
    </xf>
    <xf numFmtId="0" fontId="0" fillId="6" borderId="41" xfId="0" applyFill="1" applyBorder="1"/>
    <xf numFmtId="0" fontId="18" fillId="0" borderId="14" xfId="0" applyFont="1" applyBorder="1" applyAlignment="1">
      <alignment horizontal="center" vertical="center"/>
    </xf>
    <xf numFmtId="0" fontId="0" fillId="11" borderId="41" xfId="0" applyFill="1" applyBorder="1"/>
    <xf numFmtId="0" fontId="0" fillId="11" borderId="41" xfId="0" applyFont="1" applyFill="1" applyBorder="1"/>
    <xf numFmtId="0" fontId="19" fillId="0" borderId="14" xfId="0" applyFont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7" borderId="7" xfId="1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vertical="distributed"/>
    </xf>
    <xf numFmtId="0" fontId="25" fillId="0" borderId="0" xfId="0" applyFont="1" applyFill="1" applyBorder="1" applyAlignment="1">
      <alignment vertical="distributed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left" vertical="center"/>
    </xf>
    <xf numFmtId="1" fontId="2" fillId="2" borderId="7" xfId="0" applyNumberFormat="1" applyFont="1" applyFill="1" applyBorder="1" applyAlignment="1">
      <alignment horizontal="center" vertical="center"/>
    </xf>
    <xf numFmtId="9" fontId="2" fillId="0" borderId="0" xfId="0" applyNumberFormat="1" applyFont="1" applyBorder="1"/>
    <xf numFmtId="0" fontId="29" fillId="0" borderId="0" xfId="0" applyFont="1" applyFill="1"/>
    <xf numFmtId="165" fontId="2" fillId="0" borderId="1" xfId="1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left" vertical="center"/>
    </xf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4" fillId="0" borderId="0" xfId="0" applyFont="1"/>
    <xf numFmtId="0" fontId="94" fillId="0" borderId="0" xfId="0" applyFont="1" applyAlignment="1">
      <alignment horizontal="center"/>
    </xf>
    <xf numFmtId="0" fontId="94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2" fillId="0" borderId="11" xfId="0" applyFont="1" applyBorder="1" applyAlignment="1">
      <alignment horizontal="right"/>
    </xf>
    <xf numFmtId="3" fontId="2" fillId="7" borderId="7" xfId="0" applyNumberFormat="1" applyFont="1" applyFill="1" applyBorder="1" applyAlignment="1">
      <alignment horizontal="center" vertical="center"/>
    </xf>
    <xf numFmtId="10" fontId="94" fillId="0" borderId="0" xfId="2" applyNumberFormat="1" applyFont="1"/>
    <xf numFmtId="10" fontId="94" fillId="0" borderId="0" xfId="2" applyNumberFormat="1" applyFont="1" applyAlignment="1">
      <alignment horizontal="center"/>
    </xf>
    <xf numFmtId="2" fontId="94" fillId="0" borderId="0" xfId="0" applyNumberFormat="1" applyFont="1" applyAlignment="1">
      <alignment horizontal="center"/>
    </xf>
    <xf numFmtId="164" fontId="94" fillId="0" borderId="0" xfId="0" applyNumberFormat="1" applyFont="1" applyFill="1" applyAlignment="1">
      <alignment horizontal="center"/>
    </xf>
    <xf numFmtId="164" fontId="8" fillId="0" borderId="0" xfId="0" applyNumberFormat="1" applyFont="1"/>
    <xf numFmtId="43" fontId="94" fillId="0" borderId="0" xfId="1" applyFont="1" applyFill="1" applyBorder="1" applyAlignment="1">
      <alignment horizontal="center" vertical="center" wrapText="1"/>
    </xf>
    <xf numFmtId="164" fontId="10" fillId="0" borderId="0" xfId="0" applyNumberFormat="1" applyFont="1"/>
    <xf numFmtId="1" fontId="10" fillId="0" borderId="0" xfId="0" applyNumberFormat="1" applyFont="1"/>
    <xf numFmtId="164" fontId="2" fillId="0" borderId="0" xfId="0" applyNumberFormat="1" applyFont="1"/>
    <xf numFmtId="0" fontId="30" fillId="0" borderId="7" xfId="0" applyFont="1" applyBorder="1" applyAlignment="1">
      <alignment horizontal="right"/>
    </xf>
    <xf numFmtId="169" fontId="97" fillId="0" borderId="0" xfId="1" applyNumberFormat="1" applyFont="1"/>
    <xf numFmtId="2" fontId="94" fillId="0" borderId="0" xfId="0" applyNumberFormat="1" applyFont="1" applyFill="1" applyAlignment="1">
      <alignment horizontal="center"/>
    </xf>
    <xf numFmtId="10" fontId="2" fillId="0" borderId="0" xfId="0" applyNumberFormat="1" applyFont="1" applyFill="1"/>
    <xf numFmtId="164" fontId="3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0" fontId="3" fillId="14" borderId="7" xfId="2" applyNumberFormat="1" applyFont="1" applyFill="1" applyBorder="1" applyAlignment="1"/>
    <xf numFmtId="10" fontId="2" fillId="8" borderId="7" xfId="2" applyNumberFormat="1" applyFont="1" applyFill="1" applyBorder="1" applyAlignment="1">
      <alignment horizontal="center"/>
    </xf>
    <xf numFmtId="10" fontId="2" fillId="15" borderId="7" xfId="2" applyNumberFormat="1" applyFont="1" applyFill="1" applyBorder="1" applyAlignment="1">
      <alignment horizontal="center"/>
    </xf>
    <xf numFmtId="10" fontId="2" fillId="16" borderId="7" xfId="2" applyNumberFormat="1" applyFont="1" applyFill="1" applyBorder="1" applyAlignment="1">
      <alignment horizontal="center"/>
    </xf>
    <xf numFmtId="1" fontId="2" fillId="8" borderId="7" xfId="0" applyNumberFormat="1" applyFont="1" applyFill="1" applyBorder="1" applyAlignment="1">
      <alignment horizontal="center"/>
    </xf>
    <xf numFmtId="1" fontId="2" fillId="15" borderId="7" xfId="0" applyNumberFormat="1" applyFont="1" applyFill="1" applyBorder="1" applyAlignment="1">
      <alignment horizontal="center"/>
    </xf>
    <xf numFmtId="1" fontId="2" fillId="16" borderId="7" xfId="0" applyNumberFormat="1" applyFont="1" applyFill="1" applyBorder="1" applyAlignment="1">
      <alignment horizontal="center"/>
    </xf>
    <xf numFmtId="0" fontId="98" fillId="0" borderId="0" xfId="0" applyFont="1" applyFill="1" applyBorder="1" applyAlignment="1">
      <alignment horizontal="right" vertical="center"/>
    </xf>
    <xf numFmtId="0" fontId="98" fillId="0" borderId="0" xfId="0" applyFont="1" applyBorder="1" applyAlignment="1">
      <alignment horizontal="right"/>
    </xf>
    <xf numFmtId="49" fontId="99" fillId="0" borderId="0" xfId="1" applyNumberFormat="1" applyFont="1" applyBorder="1" applyAlignment="1">
      <alignment horizontal="right"/>
    </xf>
    <xf numFmtId="1" fontId="99" fillId="0" borderId="0" xfId="0" applyNumberFormat="1" applyFont="1" applyFill="1" applyBorder="1" applyAlignment="1">
      <alignment horizontal="center"/>
    </xf>
    <xf numFmtId="10" fontId="24" fillId="0" borderId="0" xfId="2" applyNumberFormat="1" applyFont="1" applyFill="1" applyBorder="1" applyAlignment="1">
      <alignment horizontal="center"/>
    </xf>
    <xf numFmtId="0" fontId="98" fillId="0" borderId="0" xfId="0" applyFont="1" applyFill="1" applyBorder="1" applyAlignment="1">
      <alignment horizontal="center" vertical="center" wrapText="1"/>
    </xf>
    <xf numFmtId="0" fontId="98" fillId="0" borderId="0" xfId="0" applyFont="1" applyFill="1" applyBorder="1"/>
    <xf numFmtId="0" fontId="98" fillId="0" borderId="0" xfId="0" applyFont="1" applyFill="1" applyBorder="1" applyAlignment="1">
      <alignment horizontal="right"/>
    </xf>
    <xf numFmtId="164" fontId="98" fillId="17" borderId="0" xfId="0" applyNumberFormat="1" applyFont="1" applyFill="1" applyBorder="1" applyAlignment="1">
      <alignment horizontal="center" vertical="distributed"/>
    </xf>
    <xf numFmtId="1" fontId="98" fillId="17" borderId="0" xfId="0" applyNumberFormat="1" applyFont="1" applyFill="1" applyBorder="1" applyAlignment="1">
      <alignment horizontal="center" vertical="distributed"/>
    </xf>
    <xf numFmtId="168" fontId="24" fillId="0" borderId="0" xfId="1" applyNumberFormat="1" applyFont="1" applyFill="1" applyBorder="1" applyAlignment="1">
      <alignment horizontal="center"/>
    </xf>
    <xf numFmtId="1" fontId="98" fillId="18" borderId="0" xfId="0" applyNumberFormat="1" applyFont="1" applyFill="1" applyBorder="1" applyAlignment="1">
      <alignment horizontal="center" vertical="distributed"/>
    </xf>
    <xf numFmtId="168" fontId="98" fillId="0" borderId="0" xfId="0" applyNumberFormat="1" applyFont="1" applyFill="1" applyBorder="1" applyAlignment="1">
      <alignment horizontal="center" vertical="center" wrapText="1"/>
    </xf>
    <xf numFmtId="43" fontId="100" fillId="0" borderId="0" xfId="1" applyFont="1" applyFill="1" applyBorder="1"/>
    <xf numFmtId="43" fontId="98" fillId="0" borderId="0" xfId="1" applyFont="1" applyFill="1" applyBorder="1" applyAlignment="1">
      <alignment horizontal="right"/>
    </xf>
    <xf numFmtId="2" fontId="98" fillId="19" borderId="0" xfId="0" applyNumberFormat="1" applyFont="1" applyFill="1" applyBorder="1" applyAlignment="1">
      <alignment horizontal="center" vertical="distributed"/>
    </xf>
    <xf numFmtId="1" fontId="98" fillId="19" borderId="0" xfId="0" applyNumberFormat="1" applyFont="1" applyFill="1" applyBorder="1" applyAlignment="1">
      <alignment horizontal="center" vertical="distributed"/>
    </xf>
    <xf numFmtId="49" fontId="98" fillId="0" borderId="0" xfId="0" applyNumberFormat="1" applyFont="1" applyFill="1" applyBorder="1" applyAlignment="1">
      <alignment horizontal="center" vertical="center" wrapText="1"/>
    </xf>
    <xf numFmtId="49" fontId="98" fillId="0" borderId="0" xfId="0" applyNumberFormat="1" applyFont="1" applyFill="1" applyBorder="1"/>
    <xf numFmtId="1" fontId="98" fillId="0" borderId="0" xfId="0" applyNumberFormat="1" applyFont="1" applyBorder="1" applyAlignment="1">
      <alignment horizontal="center"/>
    </xf>
    <xf numFmtId="49" fontId="98" fillId="0" borderId="0" xfId="1" applyNumberFormat="1" applyFont="1" applyFill="1" applyBorder="1" applyAlignment="1">
      <alignment horizontal="right"/>
    </xf>
    <xf numFmtId="1" fontId="98" fillId="0" borderId="0" xfId="0" applyNumberFormat="1" applyFont="1" applyFill="1" applyBorder="1" applyAlignment="1">
      <alignment horizontal="center"/>
    </xf>
    <xf numFmtId="10" fontId="2" fillId="0" borderId="0" xfId="2" applyNumberFormat="1" applyFont="1" applyBorder="1" applyAlignment="1">
      <alignment horizontal="center" vertical="center" wrapText="1"/>
    </xf>
    <xf numFmtId="177" fontId="2" fillId="0" borderId="0" xfId="0" applyNumberFormat="1" applyFont="1" applyBorder="1"/>
    <xf numFmtId="1" fontId="98" fillId="16" borderId="0" xfId="0" applyNumberFormat="1" applyFont="1" applyFill="1" applyBorder="1" applyAlignment="1">
      <alignment horizontal="center" vertical="distributed"/>
    </xf>
    <xf numFmtId="168" fontId="2" fillId="0" borderId="0" xfId="0" applyNumberFormat="1" applyFont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0" fontId="2" fillId="0" borderId="0" xfId="2" applyNumberFormat="1" applyFont="1" applyAlignment="1">
      <alignment horizontal="left" vertical="center"/>
    </xf>
    <xf numFmtId="0" fontId="36" fillId="9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center"/>
    </xf>
    <xf numFmtId="169" fontId="2" fillId="0" borderId="0" xfId="0" applyNumberFormat="1" applyFont="1" applyBorder="1"/>
    <xf numFmtId="0" fontId="53" fillId="0" borderId="0" xfId="0" applyFont="1" applyAlignment="1">
      <alignment vertical="top"/>
    </xf>
    <xf numFmtId="0" fontId="52" fillId="0" borderId="29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108" fillId="4" borderId="0" xfId="0" applyFont="1" applyFill="1" applyAlignment="1">
      <alignment horizontal="left" vertical="center"/>
    </xf>
    <xf numFmtId="169" fontId="2" fillId="4" borderId="0" xfId="0" applyNumberFormat="1" applyFont="1" applyFill="1" applyBorder="1"/>
    <xf numFmtId="176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left" vertical="center" wrapText="1"/>
    </xf>
    <xf numFmtId="0" fontId="43" fillId="4" borderId="7" xfId="0" applyFont="1" applyFill="1" applyBorder="1" applyAlignment="1">
      <alignment horizontal="center" vertical="center"/>
    </xf>
    <xf numFmtId="49" fontId="43" fillId="4" borderId="7" xfId="0" applyNumberFormat="1" applyFont="1" applyFill="1" applyBorder="1" applyAlignment="1">
      <alignment horizontal="center" vertical="center"/>
    </xf>
    <xf numFmtId="9" fontId="43" fillId="4" borderId="7" xfId="0" applyNumberFormat="1" applyFont="1" applyFill="1" applyBorder="1" applyAlignment="1">
      <alignment horizontal="center" vertical="center"/>
    </xf>
    <xf numFmtId="169" fontId="33" fillId="4" borderId="0" xfId="0" applyNumberFormat="1" applyFont="1" applyFill="1" applyBorder="1" applyAlignment="1">
      <alignment horizontal="right"/>
    </xf>
    <xf numFmtId="176" fontId="33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right" vertical="center"/>
    </xf>
    <xf numFmtId="9" fontId="2" fillId="4" borderId="0" xfId="2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right" vertical="center"/>
    </xf>
    <xf numFmtId="164" fontId="60" fillId="4" borderId="7" xfId="0" applyNumberFormat="1" applyFont="1" applyFill="1" applyBorder="1" applyAlignment="1">
      <alignment horizontal="center" vertical="center"/>
    </xf>
    <xf numFmtId="9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9" fontId="2" fillId="4" borderId="0" xfId="2" applyNumberFormat="1" applyFont="1" applyFill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164" fontId="109" fillId="4" borderId="7" xfId="0" applyNumberFormat="1" applyFont="1" applyFill="1" applyBorder="1" applyAlignment="1">
      <alignment horizontal="center" vertical="center"/>
    </xf>
    <xf numFmtId="0" fontId="11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1" fontId="61" fillId="4" borderId="0" xfId="0" applyNumberFormat="1" applyFont="1" applyFill="1" applyBorder="1" applyAlignment="1">
      <alignment horizontal="center" vertical="center"/>
    </xf>
    <xf numFmtId="1" fontId="62" fillId="4" borderId="0" xfId="0" applyNumberFormat="1" applyFont="1" applyFill="1" applyBorder="1" applyAlignment="1">
      <alignment horizontal="center" vertical="center"/>
    </xf>
    <xf numFmtId="2" fontId="111" fillId="4" borderId="0" xfId="0" applyNumberFormat="1" applyFont="1" applyFill="1" applyBorder="1" applyAlignment="1">
      <alignment horizontal="center" vertical="center"/>
    </xf>
    <xf numFmtId="2" fontId="112" fillId="4" borderId="0" xfId="0" applyNumberFormat="1" applyFont="1" applyFill="1" applyBorder="1" applyAlignment="1">
      <alignment horizontal="center" vertical="center"/>
    </xf>
    <xf numFmtId="2" fontId="62" fillId="4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73" fillId="4" borderId="0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9" fontId="95" fillId="0" borderId="0" xfId="0" applyNumberFormat="1" applyFont="1"/>
    <xf numFmtId="9" fontId="14" fillId="0" borderId="0" xfId="0" applyNumberFormat="1" applyFont="1" applyBorder="1" applyAlignment="1">
      <alignment horizontal="left"/>
    </xf>
    <xf numFmtId="0" fontId="96" fillId="0" borderId="0" xfId="0" applyFont="1" applyBorder="1" applyAlignment="1">
      <alignment horizontal="center" vertical="center" textRotation="90"/>
    </xf>
    <xf numFmtId="0" fontId="3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74" fillId="0" borderId="0" xfId="0" applyFont="1" applyBorder="1" applyAlignment="1">
      <alignment horizontal="center" vertical="center" textRotation="90"/>
    </xf>
    <xf numFmtId="0" fontId="0" fillId="20" borderId="7" xfId="0" applyFill="1" applyBorder="1"/>
    <xf numFmtId="0" fontId="114" fillId="0" borderId="0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0" fillId="20" borderId="41" xfId="0" applyFill="1" applyBorder="1"/>
    <xf numFmtId="0" fontId="115" fillId="0" borderId="14" xfId="0" applyFont="1" applyBorder="1" applyAlignment="1">
      <alignment horizontal="center" vertical="center"/>
    </xf>
    <xf numFmtId="1" fontId="48" fillId="0" borderId="7" xfId="0" applyNumberFormat="1" applyFont="1" applyFill="1" applyBorder="1" applyAlignment="1">
      <alignment horizontal="center" vertical="top" wrapText="1"/>
    </xf>
    <xf numFmtId="1" fontId="47" fillId="0" borderId="7" xfId="0" applyNumberFormat="1" applyFont="1" applyFill="1" applyBorder="1" applyAlignment="1">
      <alignment horizontal="center" vertical="top" wrapText="1"/>
    </xf>
    <xf numFmtId="1" fontId="46" fillId="0" borderId="7" xfId="0" applyNumberFormat="1" applyFont="1" applyFill="1" applyBorder="1" applyAlignment="1">
      <alignment horizontal="center" vertical="top" wrapText="1"/>
    </xf>
    <xf numFmtId="0" fontId="4" fillId="10" borderId="16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8" fillId="0" borderId="4" xfId="0" applyFont="1" applyBorder="1" applyAlignment="1">
      <alignment horizontal="left" vertical="center" wrapText="1"/>
    </xf>
    <xf numFmtId="0" fontId="68" fillId="0" borderId="5" xfId="0" applyFont="1" applyBorder="1" applyAlignment="1">
      <alignment horizontal="left" vertical="center" wrapText="1"/>
    </xf>
    <xf numFmtId="0" fontId="68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101" fillId="10" borderId="16" xfId="0" applyFont="1" applyFill="1" applyBorder="1" applyAlignment="1">
      <alignment horizontal="left" vertical="center" wrapText="1"/>
    </xf>
    <xf numFmtId="0" fontId="104" fillId="10" borderId="13" xfId="0" applyFont="1" applyFill="1" applyBorder="1" applyAlignment="1">
      <alignment horizontal="left" vertical="center" wrapText="1"/>
    </xf>
    <xf numFmtId="0" fontId="104" fillId="10" borderId="14" xfId="0" applyFont="1" applyFill="1" applyBorder="1" applyAlignment="1">
      <alignment horizontal="left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26" fillId="4" borderId="11" xfId="0" applyFont="1" applyFill="1" applyBorder="1" applyAlignment="1">
      <alignment horizontal="left" vertical="center" wrapText="1"/>
    </xf>
    <xf numFmtId="0" fontId="26" fillId="4" borderId="12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0" fontId="43" fillId="0" borderId="28" xfId="0" applyFont="1" applyFill="1" applyBorder="1" applyAlignment="1">
      <alignment horizontal="left" vertical="center" wrapText="1"/>
    </xf>
    <xf numFmtId="0" fontId="43" fillId="0" borderId="32" xfId="0" applyFont="1" applyFill="1" applyBorder="1" applyAlignment="1">
      <alignment horizontal="left" vertical="center" wrapText="1"/>
    </xf>
    <xf numFmtId="0" fontId="72" fillId="0" borderId="16" xfId="0" applyFont="1" applyFill="1" applyBorder="1" applyAlignment="1">
      <alignment horizontal="center" vertical="center"/>
    </xf>
    <xf numFmtId="0" fontId="72" fillId="0" borderId="13" xfId="0" applyFont="1" applyFill="1" applyBorder="1" applyAlignment="1">
      <alignment horizontal="center" vertical="center"/>
    </xf>
    <xf numFmtId="0" fontId="72" fillId="0" borderId="1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6" fillId="4" borderId="28" xfId="0" applyFont="1" applyFill="1" applyBorder="1" applyAlignment="1">
      <alignment horizontal="center" vertical="top" wrapText="1"/>
    </xf>
    <xf numFmtId="0" fontId="56" fillId="4" borderId="32" xfId="0" applyFont="1" applyFill="1" applyBorder="1" applyAlignment="1">
      <alignment horizontal="center" vertical="top" wrapText="1"/>
    </xf>
    <xf numFmtId="0" fontId="57" fillId="4" borderId="28" xfId="0" applyFont="1" applyFill="1" applyBorder="1" applyAlignment="1">
      <alignment horizontal="center" vertical="top" wrapText="1"/>
    </xf>
    <xf numFmtId="0" fontId="57" fillId="4" borderId="32" xfId="0" applyFont="1" applyFill="1" applyBorder="1" applyAlignment="1">
      <alignment horizontal="center" vertical="top" wrapText="1"/>
    </xf>
    <xf numFmtId="0" fontId="55" fillId="4" borderId="28" xfId="0" applyFont="1" applyFill="1" applyBorder="1" applyAlignment="1">
      <alignment horizontal="center" vertical="top" wrapText="1"/>
    </xf>
    <xf numFmtId="0" fontId="55" fillId="4" borderId="32" xfId="0" applyFont="1" applyFill="1" applyBorder="1" applyAlignment="1">
      <alignment horizontal="center" vertical="top" wrapText="1"/>
    </xf>
    <xf numFmtId="0" fontId="73" fillId="4" borderId="16" xfId="0" applyFont="1" applyFill="1" applyBorder="1" applyAlignment="1">
      <alignment horizontal="left" vertical="center" wrapText="1"/>
    </xf>
    <xf numFmtId="0" fontId="73" fillId="4" borderId="13" xfId="0" applyFont="1" applyFill="1" applyBorder="1" applyAlignment="1">
      <alignment horizontal="left" vertical="center" wrapText="1"/>
    </xf>
    <xf numFmtId="0" fontId="73" fillId="4" borderId="14" xfId="0" applyFont="1" applyFill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textRotation="180" wrapText="1"/>
    </xf>
    <xf numFmtId="0" fontId="26" fillId="4" borderId="0" xfId="0" applyFont="1" applyFill="1" applyBorder="1" applyAlignment="1">
      <alignment horizontal="left" vertical="center"/>
    </xf>
    <xf numFmtId="0" fontId="42" fillId="4" borderId="38" xfId="0" applyFont="1" applyFill="1" applyBorder="1" applyAlignment="1">
      <alignment horizontal="center" vertical="center" wrapText="1"/>
    </xf>
    <xf numFmtId="0" fontId="42" fillId="4" borderId="39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64" fillId="4" borderId="15" xfId="0" applyFont="1" applyFill="1" applyBorder="1" applyAlignment="1">
      <alignment horizontal="center" textRotation="90" wrapText="1"/>
    </xf>
    <xf numFmtId="0" fontId="64" fillId="4" borderId="10" xfId="0" applyFont="1" applyFill="1" applyBorder="1" applyAlignment="1">
      <alignment horizontal="center" textRotation="90" wrapText="1"/>
    </xf>
    <xf numFmtId="0" fontId="27" fillId="4" borderId="15" xfId="0" applyFont="1" applyFill="1" applyBorder="1" applyAlignment="1">
      <alignment horizontal="center" textRotation="90" wrapText="1"/>
    </xf>
    <xf numFmtId="0" fontId="27" fillId="4" borderId="10" xfId="0" applyFont="1" applyFill="1" applyBorder="1" applyAlignment="1">
      <alignment horizontal="center" textRotation="90" wrapText="1"/>
    </xf>
    <xf numFmtId="0" fontId="52" fillId="0" borderId="16" xfId="0" applyFont="1" applyBorder="1" applyAlignment="1">
      <alignment horizontal="left" vertical="distributed"/>
    </xf>
    <xf numFmtId="0" fontId="52" fillId="0" borderId="13" xfId="0" applyFont="1" applyBorder="1" applyAlignment="1">
      <alignment horizontal="left" vertical="distributed"/>
    </xf>
    <xf numFmtId="0" fontId="52" fillId="0" borderId="14" xfId="0" applyFont="1" applyBorder="1" applyAlignment="1">
      <alignment horizontal="left" vertical="distributed"/>
    </xf>
    <xf numFmtId="0" fontId="3" fillId="0" borderId="16" xfId="0" applyFont="1" applyBorder="1" applyAlignment="1">
      <alignment horizontal="center" vertical="distributed"/>
    </xf>
    <xf numFmtId="0" fontId="3" fillId="0" borderId="13" xfId="0" applyFont="1" applyBorder="1" applyAlignment="1">
      <alignment horizontal="center" vertical="distributed"/>
    </xf>
    <xf numFmtId="0" fontId="3" fillId="0" borderId="14" xfId="0" applyFont="1" applyBorder="1" applyAlignment="1">
      <alignment horizontal="center" vertical="distributed"/>
    </xf>
    <xf numFmtId="0" fontId="51" fillId="10" borderId="16" xfId="0" applyFont="1" applyFill="1" applyBorder="1" applyAlignment="1">
      <alignment horizontal="left" vertical="center" wrapText="1"/>
    </xf>
    <xf numFmtId="0" fontId="51" fillId="10" borderId="13" xfId="0" applyFont="1" applyFill="1" applyBorder="1" applyAlignment="1">
      <alignment horizontal="left" vertical="center" wrapText="1"/>
    </xf>
    <xf numFmtId="0" fontId="51" fillId="10" borderId="14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92" fillId="4" borderId="16" xfId="0" applyFont="1" applyFill="1" applyBorder="1" applyAlignment="1">
      <alignment horizontal="left" vertical="center" wrapText="1"/>
    </xf>
    <xf numFmtId="0" fontId="92" fillId="4" borderId="13" xfId="0" applyFont="1" applyFill="1" applyBorder="1" applyAlignment="1">
      <alignment horizontal="left" vertical="center" wrapText="1"/>
    </xf>
    <xf numFmtId="0" fontId="92" fillId="4" borderId="14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top" wrapText="1"/>
    </xf>
    <xf numFmtId="0" fontId="63" fillId="0" borderId="0" xfId="0" applyFont="1" applyAlignment="1">
      <alignment horizontal="center" textRotation="90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3300"/>
      <color rgb="FF008000"/>
      <color rgb="FF669900"/>
      <color rgb="FFCCFF33"/>
      <color rgb="FF990000"/>
      <color rgb="FFCC3300"/>
      <color rgb="FFFF0066"/>
      <color rgb="FFFF99FF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rgbClr val="990000"/>
                </a:solidFill>
              </a:rPr>
              <a:t>Gráfico</a:t>
            </a:r>
            <a:r>
              <a:rPr lang="es-ES" sz="1100" b="1" baseline="0">
                <a:solidFill>
                  <a:srgbClr val="990000"/>
                </a:solidFill>
              </a:rPr>
              <a:t> "Los 3 tiempos biográficos (3tB)": </a:t>
            </a:r>
            <a:r>
              <a:rPr lang="es-ES" sz="1100" b="1" baseline="0">
                <a:solidFill>
                  <a:schemeClr val="tx1"/>
                </a:solidFill>
              </a:rPr>
              <a:t>Prolongación del tiempo medio de Supervivencia Libre de Evento (PtSLEv)</a:t>
            </a:r>
            <a:endParaRPr lang="es-ES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IncAcum!$R$6</c:f>
              <c:strCache>
                <c:ptCount val="1"/>
                <c:pt idx="0">
                  <c:v>Resto de t sin éxito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2222222222222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9F-44DB-85FD-71C47FB8F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IncAcum!$S$5</c:f>
              <c:strCache>
                <c:ptCount val="1"/>
                <c:pt idx="0">
                  <c:v>meses</c:v>
                </c:pt>
              </c:strCache>
            </c:strRef>
          </c:cat>
          <c:val>
            <c:numRef>
              <c:f>IncAcum!$S$6</c:f>
              <c:numCache>
                <c:formatCode>0.00</c:formatCode>
                <c:ptCount val="1"/>
                <c:pt idx="0">
                  <c:v>0.82023034551827734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F-44DB-85FD-71C47FB8FFAE}"/>
            </c:ext>
          </c:extLst>
        </c:ser>
        <c:ser>
          <c:idx val="1"/>
          <c:order val="1"/>
          <c:tx>
            <c:strRef>
              <c:f>IncAcum!$R$7</c:f>
              <c:strCache>
                <c:ptCount val="1"/>
                <c:pt idx="0">
                  <c:v>PtSLEv por la intervención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777777777777779"/>
                  <c:y val="-6.481481481481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F-44DB-85FD-71C47FB8F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8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IncAcum!$S$5</c:f>
              <c:strCache>
                <c:ptCount val="1"/>
                <c:pt idx="0">
                  <c:v>meses</c:v>
                </c:pt>
              </c:strCache>
            </c:strRef>
          </c:cat>
          <c:val>
            <c:numRef>
              <c:f>IncAcum!$S$7</c:f>
              <c:numCache>
                <c:formatCode>0.00</c:formatCode>
                <c:ptCount val="1"/>
                <c:pt idx="0">
                  <c:v>0.28448429468023373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F-44DB-85FD-71C47FB8FFAE}"/>
            </c:ext>
          </c:extLst>
        </c:ser>
        <c:ser>
          <c:idx val="2"/>
          <c:order val="2"/>
          <c:tx>
            <c:strRef>
              <c:f>IncAcum!$R$8</c:f>
              <c:strCache>
                <c:ptCount val="1"/>
                <c:pt idx="0">
                  <c:v>tSLEv sin la intervención</c:v>
                </c:pt>
              </c:strCache>
            </c:strRef>
          </c:tx>
          <c:spPr>
            <a:solidFill>
              <a:srgbClr val="CCFF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361089238845143"/>
                  <c:y val="-5.5555555555555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01377952755906E-2"/>
                      <c:h val="0.12493073782443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49F-44DB-85FD-71C47FB8F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IncAcum!$S$5</c:f>
              <c:strCache>
                <c:ptCount val="1"/>
                <c:pt idx="0">
                  <c:v>meses</c:v>
                </c:pt>
              </c:strCache>
            </c:strRef>
          </c:cat>
          <c:val>
            <c:numRef>
              <c:f>IncAcum!$S$8</c:f>
              <c:numCache>
                <c:formatCode>0.0</c:formatCode>
                <c:ptCount val="1"/>
                <c:pt idx="0">
                  <c:v>40.895285359801491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9F-44DB-85FD-71C47FB8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4355904"/>
        <c:axId val="1298450768"/>
      </c:barChart>
      <c:catAx>
        <c:axId val="1234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8450768"/>
        <c:crosses val="autoZero"/>
        <c:auto val="1"/>
        <c:lblAlgn val="ctr"/>
        <c:lblOffset val="100"/>
        <c:noMultiLvlLbl val="0"/>
      </c:catAx>
      <c:valAx>
        <c:axId val="1298450768"/>
        <c:scaling>
          <c:orientation val="minMax"/>
          <c:max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900">
                    <a:solidFill>
                      <a:schemeClr val="tx1"/>
                    </a:solidFill>
                  </a:rPr>
                  <a:t>Marco de tiempo de seguimiento analizado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1921296296296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4355904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rgbClr val="993300"/>
                </a:solidFill>
              </a:rPr>
              <a:t>Gráfico</a:t>
            </a:r>
            <a:r>
              <a:rPr lang="es-ES" sz="1100" b="1" baseline="0">
                <a:solidFill>
                  <a:srgbClr val="993300"/>
                </a:solidFill>
              </a:rPr>
              <a:t> "Los 3 tiempos biográficos (3tB)": </a:t>
            </a:r>
            <a:r>
              <a:rPr lang="es-ES" sz="1100" b="1" baseline="0">
                <a:solidFill>
                  <a:schemeClr val="tx1"/>
                </a:solidFill>
              </a:rPr>
              <a:t>Prolongación del tiempo medio de Supervivencia Libre de Evento (PtSLEv)</a:t>
            </a:r>
            <a:endParaRPr lang="es-ES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'desde RR de MA'!$Q$6</c:f>
              <c:strCache>
                <c:ptCount val="1"/>
                <c:pt idx="0">
                  <c:v>Resto de t sin éxito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555555555555554"/>
                  <c:y val="6.9444444444444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A-4687-9D8F-F745874B17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'desde RR de MA'!$R$5</c:f>
              <c:strCache>
                <c:ptCount val="1"/>
                <c:pt idx="0">
                  <c:v>meses</c:v>
                </c:pt>
              </c:strCache>
            </c:strRef>
          </c:cat>
          <c:val>
            <c:numRef>
              <c:f>'desde RR de MA'!$R$6</c:f>
              <c:numCache>
                <c:formatCode>0.00</c:formatCode>
                <c:ptCount val="1"/>
                <c:pt idx="0">
                  <c:v>0.64570000000000005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A-4687-9D8F-F745874B17A9}"/>
            </c:ext>
          </c:extLst>
        </c:ser>
        <c:ser>
          <c:idx val="1"/>
          <c:order val="1"/>
          <c:tx>
            <c:strRef>
              <c:f>'desde RR de MA'!$Q$7</c:f>
              <c:strCache>
                <c:ptCount val="1"/>
                <c:pt idx="0">
                  <c:v>PtSLEv por la intervención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6111111111111118"/>
                  <c:y val="-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A-4687-9D8F-F745874B17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8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'desde RR de MA'!$R$5</c:f>
              <c:strCache>
                <c:ptCount val="1"/>
                <c:pt idx="0">
                  <c:v>meses</c:v>
                </c:pt>
              </c:strCache>
            </c:strRef>
          </c:cat>
          <c:val>
            <c:numRef>
              <c:f>'desde RR de MA'!$R$7</c:f>
              <c:numCache>
                <c:formatCode>0.00</c:formatCode>
                <c:ptCount val="1"/>
                <c:pt idx="0">
                  <c:v>9.1300000000000048E-2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A-4687-9D8F-F745874B17A9}"/>
            </c:ext>
          </c:extLst>
        </c:ser>
        <c:ser>
          <c:idx val="2"/>
          <c:order val="2"/>
          <c:tx>
            <c:strRef>
              <c:f>'desde RR de MA'!$Q$8</c:f>
              <c:strCache>
                <c:ptCount val="1"/>
                <c:pt idx="0">
                  <c:v>tSLEv sin la intervención</c:v>
                </c:pt>
              </c:strCache>
            </c:strRef>
          </c:tx>
          <c:spPr>
            <a:solidFill>
              <a:srgbClr val="CCFF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638888888888889"/>
                  <c:y val="-2.314814814814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A-4687-9D8F-F745874B17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'desde RR de MA'!$R$5</c:f>
              <c:strCache>
                <c:ptCount val="1"/>
                <c:pt idx="0">
                  <c:v>meses</c:v>
                </c:pt>
              </c:strCache>
            </c:strRef>
          </c:cat>
          <c:val>
            <c:numRef>
              <c:f>'desde RR de MA'!$R$8</c:f>
              <c:numCache>
                <c:formatCode>0.00</c:formatCode>
                <c:ptCount val="1"/>
                <c:pt idx="0">
                  <c:v>21.262999999999998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A-4687-9D8F-F745874B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460768"/>
        <c:axId val="1413237360"/>
      </c:barChart>
      <c:catAx>
        <c:axId val="11744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3237360"/>
        <c:crosses val="autoZero"/>
        <c:auto val="1"/>
        <c:lblAlgn val="ctr"/>
        <c:lblOffset val="100"/>
        <c:noMultiLvlLbl val="0"/>
      </c:catAx>
      <c:valAx>
        <c:axId val="14132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tx1"/>
                    </a:solidFill>
                  </a:rPr>
                  <a:t>Marco de tiempo de seguimiento analizado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446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331108</xdr:colOff>
      <xdr:row>0</xdr:row>
      <xdr:rowOff>11793</xdr:rowOff>
    </xdr:from>
    <xdr:to>
      <xdr:col>28</xdr:col>
      <xdr:colOff>331108</xdr:colOff>
      <xdr:row>62</xdr:row>
      <xdr:rowOff>87993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F12CE9-E1A0-4315-944F-DE48BE721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357316</xdr:colOff>
      <xdr:row>21</xdr:row>
      <xdr:rowOff>89010</xdr:rowOff>
    </xdr:from>
    <xdr:to>
      <xdr:col>49</xdr:col>
      <xdr:colOff>10772</xdr:colOff>
      <xdr:row>21</xdr:row>
      <xdr:rowOff>89254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1B1AB782-178F-4CC7-982E-6AF00273C25A}"/>
            </a:ext>
          </a:extLst>
        </xdr:cNvPr>
        <xdr:cNvCxnSpPr/>
      </xdr:nvCxnSpPr>
      <xdr:spPr>
        <a:xfrm flipV="1">
          <a:off x="4116516" y="5042010"/>
          <a:ext cx="5882806" cy="244"/>
        </a:xfrm>
        <a:prstGeom prst="straightConnector1">
          <a:avLst/>
        </a:prstGeom>
        <a:noFill/>
        <a:ln w="19050" cap="flat" cmpd="sng" algn="ctr">
          <a:solidFill>
            <a:srgbClr val="FFFF0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7</xdr:col>
      <xdr:colOff>40679</xdr:colOff>
      <xdr:row>22</xdr:row>
      <xdr:rowOff>125323</xdr:rowOff>
    </xdr:from>
    <xdr:to>
      <xdr:col>49</xdr:col>
      <xdr:colOff>49301</xdr:colOff>
      <xdr:row>22</xdr:row>
      <xdr:rowOff>126605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C5F884D-EFA1-47F9-8D56-983BEFFC8063}"/>
            </a:ext>
          </a:extLst>
        </xdr:cNvPr>
        <xdr:cNvCxnSpPr/>
      </xdr:nvCxnSpPr>
      <xdr:spPr>
        <a:xfrm>
          <a:off x="4161829" y="5281523"/>
          <a:ext cx="5876022" cy="1282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7</xdr:col>
      <xdr:colOff>45357</xdr:colOff>
      <xdr:row>19</xdr:row>
      <xdr:rowOff>96388</xdr:rowOff>
    </xdr:from>
    <xdr:to>
      <xdr:col>18</xdr:col>
      <xdr:colOff>190500</xdr:colOff>
      <xdr:row>19</xdr:row>
      <xdr:rowOff>99786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215FE8CE-90CD-4124-925F-70C93E3FA0AF}"/>
            </a:ext>
          </a:extLst>
        </xdr:cNvPr>
        <xdr:cNvCxnSpPr/>
      </xdr:nvCxnSpPr>
      <xdr:spPr>
        <a:xfrm>
          <a:off x="4166507" y="4674738"/>
          <a:ext cx="1631043" cy="3398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52</xdr:col>
      <xdr:colOff>10541</xdr:colOff>
      <xdr:row>22</xdr:row>
      <xdr:rowOff>81528</xdr:rowOff>
    </xdr:from>
    <xdr:to>
      <xdr:col>93</xdr:col>
      <xdr:colOff>188064</xdr:colOff>
      <xdr:row>22</xdr:row>
      <xdr:rowOff>91290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C407F99D-2E98-48A5-A0A3-4C3976AE38F9}"/>
            </a:ext>
          </a:extLst>
        </xdr:cNvPr>
        <xdr:cNvCxnSpPr/>
      </xdr:nvCxnSpPr>
      <xdr:spPr>
        <a:xfrm flipV="1">
          <a:off x="11053191" y="5237728"/>
          <a:ext cx="5854423" cy="9762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52</xdr:col>
      <xdr:colOff>6252</xdr:colOff>
      <xdr:row>21</xdr:row>
      <xdr:rowOff>107397</xdr:rowOff>
    </xdr:from>
    <xdr:to>
      <xdr:col>72</xdr:col>
      <xdr:colOff>163286</xdr:colOff>
      <xdr:row>21</xdr:row>
      <xdr:rowOff>108857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C1556C99-E1C1-4690-B411-A78E4E918385}"/>
            </a:ext>
          </a:extLst>
        </xdr:cNvPr>
        <xdr:cNvCxnSpPr/>
      </xdr:nvCxnSpPr>
      <xdr:spPr>
        <a:xfrm>
          <a:off x="11048902" y="5060397"/>
          <a:ext cx="2925634" cy="1460"/>
        </a:xfrm>
        <a:prstGeom prst="straightConnector1">
          <a:avLst/>
        </a:prstGeom>
        <a:noFill/>
        <a:ln w="19050" cap="flat" cmpd="sng" algn="ctr">
          <a:solidFill>
            <a:srgbClr val="FFFF0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52</xdr:col>
      <xdr:colOff>45357</xdr:colOff>
      <xdr:row>19</xdr:row>
      <xdr:rowOff>96388</xdr:rowOff>
    </xdr:from>
    <xdr:to>
      <xdr:col>63</xdr:col>
      <xdr:colOff>190500</xdr:colOff>
      <xdr:row>19</xdr:row>
      <xdr:rowOff>99786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1DD33321-A8CE-49D7-8DD3-400D56506251}"/>
            </a:ext>
          </a:extLst>
        </xdr:cNvPr>
        <xdr:cNvCxnSpPr/>
      </xdr:nvCxnSpPr>
      <xdr:spPr>
        <a:xfrm>
          <a:off x="11088007" y="4674738"/>
          <a:ext cx="1631043" cy="3398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458108</xdr:colOff>
      <xdr:row>1</xdr:row>
      <xdr:rowOff>11792</xdr:rowOff>
    </xdr:from>
    <xdr:to>
      <xdr:col>29</xdr:col>
      <xdr:colOff>739322</xdr:colOff>
      <xdr:row>35</xdr:row>
      <xdr:rowOff>115206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7D9B19-E04A-4549-BC49-88D82CFCA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346076</xdr:colOff>
      <xdr:row>19</xdr:row>
      <xdr:rowOff>117928</xdr:rowOff>
    </xdr:from>
    <xdr:to>
      <xdr:col>16</xdr:col>
      <xdr:colOff>0</xdr:colOff>
      <xdr:row>19</xdr:row>
      <xdr:rowOff>127008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7CF414DD-B473-4108-B4E9-CF2819563B5C}"/>
            </a:ext>
          </a:extLst>
        </xdr:cNvPr>
        <xdr:cNvCxnSpPr/>
      </xdr:nvCxnSpPr>
      <xdr:spPr>
        <a:xfrm flipV="1">
          <a:off x="4225926" y="4759778"/>
          <a:ext cx="1673224" cy="9080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32</xdr:col>
      <xdr:colOff>27214</xdr:colOff>
      <xdr:row>19</xdr:row>
      <xdr:rowOff>108857</xdr:rowOff>
    </xdr:from>
    <xdr:to>
      <xdr:col>41</xdr:col>
      <xdr:colOff>45357</xdr:colOff>
      <xdr:row>19</xdr:row>
      <xdr:rowOff>117928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8822AD0-8E4A-4AC2-869B-C80DC7E10AEF}"/>
            </a:ext>
          </a:extLst>
        </xdr:cNvPr>
        <xdr:cNvCxnSpPr/>
      </xdr:nvCxnSpPr>
      <xdr:spPr>
        <a:xfrm flipV="1">
          <a:off x="9304564" y="4750707"/>
          <a:ext cx="1675493" cy="9071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7</xdr:col>
      <xdr:colOff>82097</xdr:colOff>
      <xdr:row>27</xdr:row>
      <xdr:rowOff>88446</xdr:rowOff>
    </xdr:from>
    <xdr:to>
      <xdr:col>29</xdr:col>
      <xdr:colOff>0</xdr:colOff>
      <xdr:row>27</xdr:row>
      <xdr:rowOff>90714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3458E45E-2CD5-4DB7-BF35-71F1DCC26104}"/>
            </a:ext>
          </a:extLst>
        </xdr:cNvPr>
        <xdr:cNvCxnSpPr/>
      </xdr:nvCxnSpPr>
      <xdr:spPr>
        <a:xfrm>
          <a:off x="4323897" y="6235246"/>
          <a:ext cx="3969203" cy="2268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32</xdr:col>
      <xdr:colOff>55789</xdr:colOff>
      <xdr:row>27</xdr:row>
      <xdr:rowOff>95704</xdr:rowOff>
    </xdr:from>
    <xdr:to>
      <xdr:col>54</xdr:col>
      <xdr:colOff>26760</xdr:colOff>
      <xdr:row>27</xdr:row>
      <xdr:rowOff>105229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A4089CAC-40D0-4C1D-BCC0-7F7CB10E11A0}"/>
            </a:ext>
          </a:extLst>
        </xdr:cNvPr>
        <xdr:cNvCxnSpPr/>
      </xdr:nvCxnSpPr>
      <xdr:spPr>
        <a:xfrm flipV="1">
          <a:off x="9333139" y="6242504"/>
          <a:ext cx="4022271" cy="9525"/>
        </a:xfrm>
        <a:prstGeom prst="straightConnector1">
          <a:avLst/>
        </a:prstGeom>
        <a:noFill/>
        <a:ln w="19050" cap="flat" cmpd="sng" algn="ctr">
          <a:solidFill>
            <a:srgbClr val="7030A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7</xdr:col>
      <xdr:colOff>64860</xdr:colOff>
      <xdr:row>25</xdr:row>
      <xdr:rowOff>76206</xdr:rowOff>
    </xdr:from>
    <xdr:to>
      <xdr:col>29</xdr:col>
      <xdr:colOff>45810</xdr:colOff>
      <xdr:row>25</xdr:row>
      <xdr:rowOff>77561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EB9CD217-5527-4D8C-95ED-B2D36D32C355}"/>
            </a:ext>
          </a:extLst>
        </xdr:cNvPr>
        <xdr:cNvCxnSpPr/>
      </xdr:nvCxnSpPr>
      <xdr:spPr>
        <a:xfrm>
          <a:off x="4306660" y="5835656"/>
          <a:ext cx="4032250" cy="1355"/>
        </a:xfrm>
        <a:prstGeom prst="straightConnector1">
          <a:avLst/>
        </a:prstGeom>
        <a:noFill/>
        <a:ln w="19050" cap="flat" cmpd="sng" algn="ctr">
          <a:solidFill>
            <a:srgbClr val="FFFF00"/>
          </a:solidFill>
          <a:prstDash val="sysDot"/>
          <a:miter lim="800000"/>
          <a:tailEnd type="triangle"/>
        </a:ln>
        <a:effectLst/>
      </xdr:spPr>
    </xdr:cxnSp>
    <xdr:clientData/>
  </xdr:twoCellAnchor>
  <xdr:twoCellAnchor>
    <xdr:from>
      <xdr:col>32</xdr:col>
      <xdr:colOff>56696</xdr:colOff>
      <xdr:row>25</xdr:row>
      <xdr:rowOff>87090</xdr:rowOff>
    </xdr:from>
    <xdr:to>
      <xdr:col>43</xdr:col>
      <xdr:colOff>154215</xdr:colOff>
      <xdr:row>25</xdr:row>
      <xdr:rowOff>99786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C82FE134-1320-4DED-A1B2-8E82EFDE39CC}"/>
            </a:ext>
          </a:extLst>
        </xdr:cNvPr>
        <xdr:cNvCxnSpPr/>
      </xdr:nvCxnSpPr>
      <xdr:spPr>
        <a:xfrm>
          <a:off x="9334046" y="5846540"/>
          <a:ext cx="2123169" cy="12696"/>
        </a:xfrm>
        <a:prstGeom prst="straightConnector1">
          <a:avLst/>
        </a:prstGeom>
        <a:noFill/>
        <a:ln w="19050" cap="flat" cmpd="sng" algn="ctr">
          <a:solidFill>
            <a:srgbClr val="FFFF00"/>
          </a:solidFill>
          <a:prstDash val="sysDot"/>
          <a:miter lim="800000"/>
          <a:tailEnd type="triangle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123</xdr:col>
      <xdr:colOff>11206</xdr:colOff>
      <xdr:row>90</xdr:row>
      <xdr:rowOff>22412</xdr:rowOff>
    </xdr:from>
    <xdr:to>
      <xdr:col>147</xdr:col>
      <xdr:colOff>11206</xdr:colOff>
      <xdr:row>100</xdr:row>
      <xdr:rowOff>190500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2297206" y="16976912"/>
          <a:ext cx="6000750" cy="2073088"/>
        </a:xfrm>
        <a:prstGeom prst="line">
          <a:avLst/>
        </a:prstGeom>
        <a:ln w="38100">
          <a:solidFill>
            <a:srgbClr val="FF00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</xdr:col>
      <xdr:colOff>0</xdr:colOff>
      <xdr:row>96</xdr:row>
      <xdr:rowOff>56029</xdr:rowOff>
    </xdr:from>
    <xdr:to>
      <xdr:col>147</xdr:col>
      <xdr:colOff>0</xdr:colOff>
      <xdr:row>100</xdr:row>
      <xdr:rowOff>190500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8202706" y="18153529"/>
          <a:ext cx="0" cy="89647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</xdr:col>
      <xdr:colOff>44823</xdr:colOff>
      <xdr:row>90</xdr:row>
      <xdr:rowOff>22412</xdr:rowOff>
    </xdr:from>
    <xdr:to>
      <xdr:col>147</xdr:col>
      <xdr:colOff>44823</xdr:colOff>
      <xdr:row>101</xdr:row>
      <xdr:rowOff>11206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8247529" y="16976912"/>
          <a:ext cx="0" cy="2095500"/>
        </a:xfrm>
        <a:prstGeom prst="line">
          <a:avLst/>
        </a:prstGeom>
        <a:ln w="38100">
          <a:solidFill>
            <a:srgbClr val="FF00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</xdr:col>
      <xdr:colOff>45983</xdr:colOff>
      <xdr:row>96</xdr:row>
      <xdr:rowOff>13138</xdr:rowOff>
    </xdr:from>
    <xdr:to>
      <xdr:col>147</xdr:col>
      <xdr:colOff>13137</xdr:colOff>
      <xdr:row>101</xdr:row>
      <xdr:rowOff>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CxnSpPr/>
      </xdr:nvCxnSpPr>
      <xdr:spPr>
        <a:xfrm flipV="1">
          <a:off x="2331983" y="18110638"/>
          <a:ext cx="5958051" cy="94593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222521</xdr:colOff>
      <xdr:row>95</xdr:row>
      <xdr:rowOff>46355</xdr:rowOff>
    </xdr:from>
    <xdr:to>
      <xdr:col>148</xdr:col>
      <xdr:colOff>77889</xdr:colOff>
      <xdr:row>100</xdr:row>
      <xdr:rowOff>76655</xdr:rowOff>
    </xdr:to>
    <xdr:sp macro="" textlink="">
      <xdr:nvSpPr>
        <xdr:cNvPr id="98" name="Triángulo isósceles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 rot="20445022" flipV="1">
          <a:off x="17681286" y="17964561"/>
          <a:ext cx="5772074" cy="994006"/>
        </a:xfrm>
        <a:prstGeom prst="triangle">
          <a:avLst>
            <a:gd name="adj" fmla="val 93182"/>
          </a:avLst>
        </a:prstGeom>
        <a:solidFill>
          <a:srgbClr val="00FF00"/>
        </a:solidFill>
        <a:ln w="0">
          <a:solidFill>
            <a:srgbClr val="669900">
              <a:alpha val="98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122</xdr:col>
      <xdr:colOff>696517</xdr:colOff>
      <xdr:row>89</xdr:row>
      <xdr:rowOff>182211</xdr:rowOff>
    </xdr:from>
    <xdr:to>
      <xdr:col>123</xdr:col>
      <xdr:colOff>71439</xdr:colOff>
      <xdr:row>89</xdr:row>
      <xdr:rowOff>188164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CxnSpPr/>
      </xdr:nvCxnSpPr>
      <xdr:spPr>
        <a:xfrm flipV="1">
          <a:off x="2220517" y="16946211"/>
          <a:ext cx="136922" cy="5953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696517</xdr:colOff>
      <xdr:row>95</xdr:row>
      <xdr:rowOff>184543</xdr:rowOff>
    </xdr:from>
    <xdr:to>
      <xdr:col>123</xdr:col>
      <xdr:colOff>71439</xdr:colOff>
      <xdr:row>95</xdr:row>
      <xdr:rowOff>190496</xdr:rowOff>
    </xdr:to>
    <xdr:cxnSp macro="">
      <xdr:nvCxnSpPr>
        <xdr:cNvPr id="107" name="Conector recto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CxnSpPr/>
      </xdr:nvCxnSpPr>
      <xdr:spPr>
        <a:xfrm flipV="1">
          <a:off x="2220517" y="18091543"/>
          <a:ext cx="136922" cy="595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5763</xdr:colOff>
      <xdr:row>90</xdr:row>
      <xdr:rowOff>641</xdr:rowOff>
    </xdr:from>
    <xdr:to>
      <xdr:col>87</xdr:col>
      <xdr:colOff>5763</xdr:colOff>
      <xdr:row>100</xdr:row>
      <xdr:rowOff>168729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 flipV="1">
          <a:off x="9438234" y="16955141"/>
          <a:ext cx="6008915" cy="2073088"/>
        </a:xfrm>
        <a:prstGeom prst="line">
          <a:avLst/>
        </a:prstGeom>
        <a:ln w="38100">
          <a:solidFill>
            <a:srgbClr val="FF00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44823</xdr:colOff>
      <xdr:row>90</xdr:row>
      <xdr:rowOff>22412</xdr:rowOff>
    </xdr:from>
    <xdr:to>
      <xdr:col>87</xdr:col>
      <xdr:colOff>44823</xdr:colOff>
      <xdr:row>101</xdr:row>
      <xdr:rowOff>11206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17332698" y="20644037"/>
          <a:ext cx="0" cy="2093819"/>
        </a:xfrm>
        <a:prstGeom prst="line">
          <a:avLst/>
        </a:prstGeom>
        <a:ln w="38100">
          <a:solidFill>
            <a:srgbClr val="FF00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40292</xdr:colOff>
      <xdr:row>90</xdr:row>
      <xdr:rowOff>45984</xdr:rowOff>
    </xdr:from>
    <xdr:to>
      <xdr:col>86</xdr:col>
      <xdr:colOff>243052</xdr:colOff>
      <xdr:row>100</xdr:row>
      <xdr:rowOff>192664</xdr:rowOff>
    </xdr:to>
    <xdr:sp macro="" textlink="">
      <xdr:nvSpPr>
        <xdr:cNvPr id="31" name="Triángulo isósceles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1577430" y="17000484"/>
          <a:ext cx="5944036" cy="2051680"/>
        </a:xfrm>
        <a:prstGeom prst="triangle">
          <a:avLst>
            <a:gd name="adj" fmla="val 100000"/>
          </a:avLst>
        </a:prstGeom>
        <a:solidFill>
          <a:srgbClr val="FF0066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62</xdr:col>
      <xdr:colOff>696517</xdr:colOff>
      <xdr:row>89</xdr:row>
      <xdr:rowOff>182211</xdr:rowOff>
    </xdr:from>
    <xdr:to>
      <xdr:col>63</xdr:col>
      <xdr:colOff>71439</xdr:colOff>
      <xdr:row>89</xdr:row>
      <xdr:rowOff>188164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 flipV="1">
          <a:off x="11278792" y="20603811"/>
          <a:ext cx="136922" cy="5953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0</xdr:colOff>
      <xdr:row>96</xdr:row>
      <xdr:rowOff>56029</xdr:rowOff>
    </xdr:from>
    <xdr:to>
      <xdr:col>117</xdr:col>
      <xdr:colOff>0</xdr:colOff>
      <xdr:row>100</xdr:row>
      <xdr:rowOff>190500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23831550" y="25468729"/>
          <a:ext cx="0" cy="89647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45983</xdr:colOff>
      <xdr:row>96</xdr:row>
      <xdr:rowOff>13138</xdr:rowOff>
    </xdr:from>
    <xdr:to>
      <xdr:col>117</xdr:col>
      <xdr:colOff>13137</xdr:colOff>
      <xdr:row>101</xdr:row>
      <xdr:rowOff>0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 flipV="1">
          <a:off x="17933933" y="25425838"/>
          <a:ext cx="5910754" cy="94888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23496</xdr:colOff>
      <xdr:row>96</xdr:row>
      <xdr:rowOff>32845</xdr:rowOff>
    </xdr:from>
    <xdr:to>
      <xdr:col>116</xdr:col>
      <xdr:colOff>236482</xdr:colOff>
      <xdr:row>100</xdr:row>
      <xdr:rowOff>188225</xdr:rowOff>
    </xdr:to>
    <xdr:sp macro="" textlink="">
      <xdr:nvSpPr>
        <xdr:cNvPr id="35" name="Triángulo isósceles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679875" y="18130345"/>
          <a:ext cx="5704641" cy="917380"/>
        </a:xfrm>
        <a:prstGeom prst="triangle">
          <a:avLst>
            <a:gd name="adj" fmla="val 100000"/>
          </a:avLst>
        </a:prstGeom>
        <a:solidFill>
          <a:srgbClr val="FF33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92</xdr:col>
      <xdr:colOff>696517</xdr:colOff>
      <xdr:row>95</xdr:row>
      <xdr:rowOff>184543</xdr:rowOff>
    </xdr:from>
    <xdr:to>
      <xdr:col>93</xdr:col>
      <xdr:colOff>71439</xdr:colOff>
      <xdr:row>95</xdr:row>
      <xdr:rowOff>190496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 flipV="1">
          <a:off x="17889142" y="25397218"/>
          <a:ext cx="70247" cy="595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</xdr:col>
      <xdr:colOff>137948</xdr:colOff>
      <xdr:row>89</xdr:row>
      <xdr:rowOff>164224</xdr:rowOff>
    </xdr:from>
    <xdr:to>
      <xdr:col>146</xdr:col>
      <xdr:colOff>223344</xdr:colOff>
      <xdr:row>89</xdr:row>
      <xdr:rowOff>177362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17539138" y="16928224"/>
          <a:ext cx="5826672" cy="13138"/>
        </a:xfrm>
        <a:prstGeom prst="line">
          <a:avLst/>
        </a:prstGeom>
        <a:ln w="12700">
          <a:solidFill>
            <a:srgbClr val="FF0066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</xdr:col>
      <xdr:colOff>190500</xdr:colOff>
      <xdr:row>95</xdr:row>
      <xdr:rowOff>170793</xdr:rowOff>
    </xdr:from>
    <xdr:to>
      <xdr:col>146</xdr:col>
      <xdr:colOff>236482</xdr:colOff>
      <xdr:row>95</xdr:row>
      <xdr:rowOff>177362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7591690" y="18077793"/>
          <a:ext cx="5787258" cy="6569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123265</xdr:colOff>
      <xdr:row>96</xdr:row>
      <xdr:rowOff>0</xdr:rowOff>
    </xdr:from>
    <xdr:to>
      <xdr:col>116</xdr:col>
      <xdr:colOff>169247</xdr:colOff>
      <xdr:row>96</xdr:row>
      <xdr:rowOff>6569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9435353" y="18097500"/>
          <a:ext cx="5716159" cy="6569"/>
        </a:xfrm>
        <a:prstGeom prst="line">
          <a:avLst/>
        </a:prstGeom>
        <a:ln w="127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134470</xdr:colOff>
      <xdr:row>89</xdr:row>
      <xdr:rowOff>179294</xdr:rowOff>
    </xdr:from>
    <xdr:to>
      <xdr:col>86</xdr:col>
      <xdr:colOff>219867</xdr:colOff>
      <xdr:row>90</xdr:row>
      <xdr:rowOff>1932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 flipV="1">
          <a:off x="1669676" y="16943294"/>
          <a:ext cx="5755573" cy="13138"/>
        </a:xfrm>
        <a:prstGeom prst="line">
          <a:avLst/>
        </a:prstGeom>
        <a:ln w="12700">
          <a:solidFill>
            <a:srgbClr val="FF0066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40822</xdr:colOff>
      <xdr:row>96</xdr:row>
      <xdr:rowOff>40822</xdr:rowOff>
    </xdr:from>
    <xdr:to>
      <xdr:col>147</xdr:col>
      <xdr:colOff>8879</xdr:colOff>
      <xdr:row>100</xdr:row>
      <xdr:rowOff>196202</xdr:rowOff>
    </xdr:to>
    <xdr:sp macro="" textlink="">
      <xdr:nvSpPr>
        <xdr:cNvPr id="38" name="Triángulo isósceles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32847643" y="18342429"/>
          <a:ext cx="5601415" cy="917380"/>
        </a:xfrm>
        <a:prstGeom prst="triangle">
          <a:avLst>
            <a:gd name="adj" fmla="val 100000"/>
          </a:avLst>
        </a:prstGeom>
        <a:solidFill>
          <a:srgbClr val="FF33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8007-1082-4144-A68F-8232029AF01D}">
  <dimension ref="A1:AD77"/>
  <sheetViews>
    <sheetView tabSelected="1" zoomScale="70" zoomScaleNormal="70" workbookViewId="0">
      <selection activeCell="B1" sqref="B1"/>
    </sheetView>
  </sheetViews>
  <sheetFormatPr baseColWidth="10" defaultRowHeight="13" x14ac:dyDescent="0.3"/>
  <cols>
    <col min="1" max="1" width="0.81640625" style="1" customWidth="1"/>
    <col min="2" max="2" width="39" style="1" customWidth="1"/>
    <col min="3" max="3" width="20.54296875" style="1" customWidth="1"/>
    <col min="4" max="4" width="20.453125" style="1" customWidth="1"/>
    <col min="5" max="5" width="17.1796875" style="1" customWidth="1"/>
    <col min="6" max="6" width="23.6328125" style="1" customWidth="1"/>
    <col min="7" max="7" width="17.81640625" style="1" customWidth="1"/>
    <col min="8" max="8" width="8.90625" style="1" customWidth="1"/>
    <col min="9" max="9" width="5.90625" style="1" customWidth="1"/>
    <col min="10" max="10" width="10.453125" style="1" hidden="1" customWidth="1"/>
    <col min="11" max="11" width="7" style="1" hidden="1" customWidth="1"/>
    <col min="12" max="12" width="14.453125" style="1" hidden="1" customWidth="1"/>
    <col min="13" max="13" width="13.453125" style="1" hidden="1" customWidth="1"/>
    <col min="14" max="14" width="4.453125" style="1" hidden="1" customWidth="1"/>
    <col min="15" max="16" width="11.81640625" style="6" customWidth="1"/>
    <col min="17" max="17" width="1.90625" style="1" customWidth="1"/>
    <col min="18" max="18" width="14.54296875" style="1" customWidth="1"/>
    <col min="19" max="19" width="15.453125" style="1" customWidth="1"/>
    <col min="20" max="20" width="13.54296875" style="1" customWidth="1"/>
    <col min="21" max="21" width="11.81640625" style="6" customWidth="1"/>
    <col min="22" max="22" width="6.36328125" style="6" customWidth="1"/>
    <col min="23" max="257" width="10.90625" style="1"/>
    <col min="258" max="258" width="20.26953125" style="1" customWidth="1"/>
    <col min="259" max="259" width="21.7265625" style="1" customWidth="1"/>
    <col min="260" max="260" width="22" style="1" customWidth="1"/>
    <col min="261" max="261" width="17.1796875" style="1" customWidth="1"/>
    <col min="262" max="262" width="21.453125" style="1" customWidth="1"/>
    <col min="263" max="263" width="19.54296875" style="1" customWidth="1"/>
    <col min="264" max="264" width="14.1796875" style="1" bestFit="1" customWidth="1"/>
    <col min="265" max="265" width="8.453125" style="1" customWidth="1"/>
    <col min="266" max="266" width="14.453125" style="1" bestFit="1" customWidth="1"/>
    <col min="267" max="267" width="4.453125" style="1" customWidth="1"/>
    <col min="268" max="268" width="14.453125" style="1" bestFit="1" customWidth="1"/>
    <col min="269" max="269" width="13.453125" style="1" customWidth="1"/>
    <col min="270" max="270" width="14.7265625" style="1" bestFit="1" customWidth="1"/>
    <col min="271" max="271" width="14.26953125" style="1" bestFit="1" customWidth="1"/>
    <col min="272" max="272" width="14.26953125" style="1" customWidth="1"/>
    <col min="273" max="273" width="14" style="1" bestFit="1" customWidth="1"/>
    <col min="274" max="274" width="11.54296875" style="1" bestFit="1" customWidth="1"/>
    <col min="275" max="275" width="13.81640625" style="1" bestFit="1" customWidth="1"/>
    <col min="276" max="513" width="10.90625" style="1"/>
    <col min="514" max="514" width="20.26953125" style="1" customWidth="1"/>
    <col min="515" max="515" width="21.7265625" style="1" customWidth="1"/>
    <col min="516" max="516" width="22" style="1" customWidth="1"/>
    <col min="517" max="517" width="17.1796875" style="1" customWidth="1"/>
    <col min="518" max="518" width="21.453125" style="1" customWidth="1"/>
    <col min="519" max="519" width="19.54296875" style="1" customWidth="1"/>
    <col min="520" max="520" width="14.1796875" style="1" bestFit="1" customWidth="1"/>
    <col min="521" max="521" width="8.453125" style="1" customWidth="1"/>
    <col min="522" max="522" width="14.453125" style="1" bestFit="1" customWidth="1"/>
    <col min="523" max="523" width="4.453125" style="1" customWidth="1"/>
    <col min="524" max="524" width="14.453125" style="1" bestFit="1" customWidth="1"/>
    <col min="525" max="525" width="13.453125" style="1" customWidth="1"/>
    <col min="526" max="526" width="14.7265625" style="1" bestFit="1" customWidth="1"/>
    <col min="527" max="527" width="14.26953125" style="1" bestFit="1" customWidth="1"/>
    <col min="528" max="528" width="14.26953125" style="1" customWidth="1"/>
    <col min="529" max="529" width="14" style="1" bestFit="1" customWidth="1"/>
    <col min="530" max="530" width="11.54296875" style="1" bestFit="1" customWidth="1"/>
    <col min="531" max="531" width="13.81640625" style="1" bestFit="1" customWidth="1"/>
    <col min="532" max="769" width="10.90625" style="1"/>
    <col min="770" max="770" width="20.26953125" style="1" customWidth="1"/>
    <col min="771" max="771" width="21.7265625" style="1" customWidth="1"/>
    <col min="772" max="772" width="22" style="1" customWidth="1"/>
    <col min="773" max="773" width="17.1796875" style="1" customWidth="1"/>
    <col min="774" max="774" width="21.453125" style="1" customWidth="1"/>
    <col min="775" max="775" width="19.54296875" style="1" customWidth="1"/>
    <col min="776" max="776" width="14.1796875" style="1" bestFit="1" customWidth="1"/>
    <col min="777" max="777" width="8.453125" style="1" customWidth="1"/>
    <col min="778" max="778" width="14.453125" style="1" bestFit="1" customWidth="1"/>
    <col min="779" max="779" width="4.453125" style="1" customWidth="1"/>
    <col min="780" max="780" width="14.453125" style="1" bestFit="1" customWidth="1"/>
    <col min="781" max="781" width="13.453125" style="1" customWidth="1"/>
    <col min="782" max="782" width="14.7265625" style="1" bestFit="1" customWidth="1"/>
    <col min="783" max="783" width="14.26953125" style="1" bestFit="1" customWidth="1"/>
    <col min="784" max="784" width="14.26953125" style="1" customWidth="1"/>
    <col min="785" max="785" width="14" style="1" bestFit="1" customWidth="1"/>
    <col min="786" max="786" width="11.54296875" style="1" bestFit="1" customWidth="1"/>
    <col min="787" max="787" width="13.81640625" style="1" bestFit="1" customWidth="1"/>
    <col min="788" max="1025" width="10.90625" style="1"/>
    <col min="1026" max="1026" width="20.26953125" style="1" customWidth="1"/>
    <col min="1027" max="1027" width="21.7265625" style="1" customWidth="1"/>
    <col min="1028" max="1028" width="22" style="1" customWidth="1"/>
    <col min="1029" max="1029" width="17.1796875" style="1" customWidth="1"/>
    <col min="1030" max="1030" width="21.453125" style="1" customWidth="1"/>
    <col min="1031" max="1031" width="19.54296875" style="1" customWidth="1"/>
    <col min="1032" max="1032" width="14.1796875" style="1" bestFit="1" customWidth="1"/>
    <col min="1033" max="1033" width="8.453125" style="1" customWidth="1"/>
    <col min="1034" max="1034" width="14.453125" style="1" bestFit="1" customWidth="1"/>
    <col min="1035" max="1035" width="4.453125" style="1" customWidth="1"/>
    <col min="1036" max="1036" width="14.453125" style="1" bestFit="1" customWidth="1"/>
    <col min="1037" max="1037" width="13.453125" style="1" customWidth="1"/>
    <col min="1038" max="1038" width="14.7265625" style="1" bestFit="1" customWidth="1"/>
    <col min="1039" max="1039" width="14.26953125" style="1" bestFit="1" customWidth="1"/>
    <col min="1040" max="1040" width="14.26953125" style="1" customWidth="1"/>
    <col min="1041" max="1041" width="14" style="1" bestFit="1" customWidth="1"/>
    <col min="1042" max="1042" width="11.54296875" style="1" bestFit="1" customWidth="1"/>
    <col min="1043" max="1043" width="13.81640625" style="1" bestFit="1" customWidth="1"/>
    <col min="1044" max="1281" width="10.90625" style="1"/>
    <col min="1282" max="1282" width="20.26953125" style="1" customWidth="1"/>
    <col min="1283" max="1283" width="21.7265625" style="1" customWidth="1"/>
    <col min="1284" max="1284" width="22" style="1" customWidth="1"/>
    <col min="1285" max="1285" width="17.1796875" style="1" customWidth="1"/>
    <col min="1286" max="1286" width="21.453125" style="1" customWidth="1"/>
    <col min="1287" max="1287" width="19.54296875" style="1" customWidth="1"/>
    <col min="1288" max="1288" width="14.1796875" style="1" bestFit="1" customWidth="1"/>
    <col min="1289" max="1289" width="8.453125" style="1" customWidth="1"/>
    <col min="1290" max="1290" width="14.453125" style="1" bestFit="1" customWidth="1"/>
    <col min="1291" max="1291" width="4.453125" style="1" customWidth="1"/>
    <col min="1292" max="1292" width="14.453125" style="1" bestFit="1" customWidth="1"/>
    <col min="1293" max="1293" width="13.453125" style="1" customWidth="1"/>
    <col min="1294" max="1294" width="14.7265625" style="1" bestFit="1" customWidth="1"/>
    <col min="1295" max="1295" width="14.26953125" style="1" bestFit="1" customWidth="1"/>
    <col min="1296" max="1296" width="14.26953125" style="1" customWidth="1"/>
    <col min="1297" max="1297" width="14" style="1" bestFit="1" customWidth="1"/>
    <col min="1298" max="1298" width="11.54296875" style="1" bestFit="1" customWidth="1"/>
    <col min="1299" max="1299" width="13.81640625" style="1" bestFit="1" customWidth="1"/>
    <col min="1300" max="1537" width="10.90625" style="1"/>
    <col min="1538" max="1538" width="20.26953125" style="1" customWidth="1"/>
    <col min="1539" max="1539" width="21.7265625" style="1" customWidth="1"/>
    <col min="1540" max="1540" width="22" style="1" customWidth="1"/>
    <col min="1541" max="1541" width="17.1796875" style="1" customWidth="1"/>
    <col min="1542" max="1542" width="21.453125" style="1" customWidth="1"/>
    <col min="1543" max="1543" width="19.54296875" style="1" customWidth="1"/>
    <col min="1544" max="1544" width="14.1796875" style="1" bestFit="1" customWidth="1"/>
    <col min="1545" max="1545" width="8.453125" style="1" customWidth="1"/>
    <col min="1546" max="1546" width="14.453125" style="1" bestFit="1" customWidth="1"/>
    <col min="1547" max="1547" width="4.453125" style="1" customWidth="1"/>
    <col min="1548" max="1548" width="14.453125" style="1" bestFit="1" customWidth="1"/>
    <col min="1549" max="1549" width="13.453125" style="1" customWidth="1"/>
    <col min="1550" max="1550" width="14.7265625" style="1" bestFit="1" customWidth="1"/>
    <col min="1551" max="1551" width="14.26953125" style="1" bestFit="1" customWidth="1"/>
    <col min="1552" max="1552" width="14.26953125" style="1" customWidth="1"/>
    <col min="1553" max="1553" width="14" style="1" bestFit="1" customWidth="1"/>
    <col min="1554" max="1554" width="11.54296875" style="1" bestFit="1" customWidth="1"/>
    <col min="1555" max="1555" width="13.81640625" style="1" bestFit="1" customWidth="1"/>
    <col min="1556" max="1793" width="10.90625" style="1"/>
    <col min="1794" max="1794" width="20.26953125" style="1" customWidth="1"/>
    <col min="1795" max="1795" width="21.7265625" style="1" customWidth="1"/>
    <col min="1796" max="1796" width="22" style="1" customWidth="1"/>
    <col min="1797" max="1797" width="17.1796875" style="1" customWidth="1"/>
    <col min="1798" max="1798" width="21.453125" style="1" customWidth="1"/>
    <col min="1799" max="1799" width="19.54296875" style="1" customWidth="1"/>
    <col min="1800" max="1800" width="14.1796875" style="1" bestFit="1" customWidth="1"/>
    <col min="1801" max="1801" width="8.453125" style="1" customWidth="1"/>
    <col min="1802" max="1802" width="14.453125" style="1" bestFit="1" customWidth="1"/>
    <col min="1803" max="1803" width="4.453125" style="1" customWidth="1"/>
    <col min="1804" max="1804" width="14.453125" style="1" bestFit="1" customWidth="1"/>
    <col min="1805" max="1805" width="13.453125" style="1" customWidth="1"/>
    <col min="1806" max="1806" width="14.7265625" style="1" bestFit="1" customWidth="1"/>
    <col min="1807" max="1807" width="14.26953125" style="1" bestFit="1" customWidth="1"/>
    <col min="1808" max="1808" width="14.26953125" style="1" customWidth="1"/>
    <col min="1809" max="1809" width="14" style="1" bestFit="1" customWidth="1"/>
    <col min="1810" max="1810" width="11.54296875" style="1" bestFit="1" customWidth="1"/>
    <col min="1811" max="1811" width="13.81640625" style="1" bestFit="1" customWidth="1"/>
    <col min="1812" max="2049" width="10.90625" style="1"/>
    <col min="2050" max="2050" width="20.26953125" style="1" customWidth="1"/>
    <col min="2051" max="2051" width="21.7265625" style="1" customWidth="1"/>
    <col min="2052" max="2052" width="22" style="1" customWidth="1"/>
    <col min="2053" max="2053" width="17.1796875" style="1" customWidth="1"/>
    <col min="2054" max="2054" width="21.453125" style="1" customWidth="1"/>
    <col min="2055" max="2055" width="19.54296875" style="1" customWidth="1"/>
    <col min="2056" max="2056" width="14.1796875" style="1" bestFit="1" customWidth="1"/>
    <col min="2057" max="2057" width="8.453125" style="1" customWidth="1"/>
    <col min="2058" max="2058" width="14.453125" style="1" bestFit="1" customWidth="1"/>
    <col min="2059" max="2059" width="4.453125" style="1" customWidth="1"/>
    <col min="2060" max="2060" width="14.453125" style="1" bestFit="1" customWidth="1"/>
    <col min="2061" max="2061" width="13.453125" style="1" customWidth="1"/>
    <col min="2062" max="2062" width="14.7265625" style="1" bestFit="1" customWidth="1"/>
    <col min="2063" max="2063" width="14.26953125" style="1" bestFit="1" customWidth="1"/>
    <col min="2064" max="2064" width="14.26953125" style="1" customWidth="1"/>
    <col min="2065" max="2065" width="14" style="1" bestFit="1" customWidth="1"/>
    <col min="2066" max="2066" width="11.54296875" style="1" bestFit="1" customWidth="1"/>
    <col min="2067" max="2067" width="13.81640625" style="1" bestFit="1" customWidth="1"/>
    <col min="2068" max="2305" width="10.90625" style="1"/>
    <col min="2306" max="2306" width="20.26953125" style="1" customWidth="1"/>
    <col min="2307" max="2307" width="21.7265625" style="1" customWidth="1"/>
    <col min="2308" max="2308" width="22" style="1" customWidth="1"/>
    <col min="2309" max="2309" width="17.1796875" style="1" customWidth="1"/>
    <col min="2310" max="2310" width="21.453125" style="1" customWidth="1"/>
    <col min="2311" max="2311" width="19.54296875" style="1" customWidth="1"/>
    <col min="2312" max="2312" width="14.1796875" style="1" bestFit="1" customWidth="1"/>
    <col min="2313" max="2313" width="8.453125" style="1" customWidth="1"/>
    <col min="2314" max="2314" width="14.453125" style="1" bestFit="1" customWidth="1"/>
    <col min="2315" max="2315" width="4.453125" style="1" customWidth="1"/>
    <col min="2316" max="2316" width="14.453125" style="1" bestFit="1" customWidth="1"/>
    <col min="2317" max="2317" width="13.453125" style="1" customWidth="1"/>
    <col min="2318" max="2318" width="14.7265625" style="1" bestFit="1" customWidth="1"/>
    <col min="2319" max="2319" width="14.26953125" style="1" bestFit="1" customWidth="1"/>
    <col min="2320" max="2320" width="14.26953125" style="1" customWidth="1"/>
    <col min="2321" max="2321" width="14" style="1" bestFit="1" customWidth="1"/>
    <col min="2322" max="2322" width="11.54296875" style="1" bestFit="1" customWidth="1"/>
    <col min="2323" max="2323" width="13.81640625" style="1" bestFit="1" customWidth="1"/>
    <col min="2324" max="2561" width="10.90625" style="1"/>
    <col min="2562" max="2562" width="20.26953125" style="1" customWidth="1"/>
    <col min="2563" max="2563" width="21.7265625" style="1" customWidth="1"/>
    <col min="2564" max="2564" width="22" style="1" customWidth="1"/>
    <col min="2565" max="2565" width="17.1796875" style="1" customWidth="1"/>
    <col min="2566" max="2566" width="21.453125" style="1" customWidth="1"/>
    <col min="2567" max="2567" width="19.54296875" style="1" customWidth="1"/>
    <col min="2568" max="2568" width="14.1796875" style="1" bestFit="1" customWidth="1"/>
    <col min="2569" max="2569" width="8.453125" style="1" customWidth="1"/>
    <col min="2570" max="2570" width="14.453125" style="1" bestFit="1" customWidth="1"/>
    <col min="2571" max="2571" width="4.453125" style="1" customWidth="1"/>
    <col min="2572" max="2572" width="14.453125" style="1" bestFit="1" customWidth="1"/>
    <col min="2573" max="2573" width="13.453125" style="1" customWidth="1"/>
    <col min="2574" max="2574" width="14.7265625" style="1" bestFit="1" customWidth="1"/>
    <col min="2575" max="2575" width="14.26953125" style="1" bestFit="1" customWidth="1"/>
    <col min="2576" max="2576" width="14.26953125" style="1" customWidth="1"/>
    <col min="2577" max="2577" width="14" style="1" bestFit="1" customWidth="1"/>
    <col min="2578" max="2578" width="11.54296875" style="1" bestFit="1" customWidth="1"/>
    <col min="2579" max="2579" width="13.81640625" style="1" bestFit="1" customWidth="1"/>
    <col min="2580" max="2817" width="10.90625" style="1"/>
    <col min="2818" max="2818" width="20.26953125" style="1" customWidth="1"/>
    <col min="2819" max="2819" width="21.7265625" style="1" customWidth="1"/>
    <col min="2820" max="2820" width="22" style="1" customWidth="1"/>
    <col min="2821" max="2821" width="17.1796875" style="1" customWidth="1"/>
    <col min="2822" max="2822" width="21.453125" style="1" customWidth="1"/>
    <col min="2823" max="2823" width="19.54296875" style="1" customWidth="1"/>
    <col min="2824" max="2824" width="14.1796875" style="1" bestFit="1" customWidth="1"/>
    <col min="2825" max="2825" width="8.453125" style="1" customWidth="1"/>
    <col min="2826" max="2826" width="14.453125" style="1" bestFit="1" customWidth="1"/>
    <col min="2827" max="2827" width="4.453125" style="1" customWidth="1"/>
    <col min="2828" max="2828" width="14.453125" style="1" bestFit="1" customWidth="1"/>
    <col min="2829" max="2829" width="13.453125" style="1" customWidth="1"/>
    <col min="2830" max="2830" width="14.7265625" style="1" bestFit="1" customWidth="1"/>
    <col min="2831" max="2831" width="14.26953125" style="1" bestFit="1" customWidth="1"/>
    <col min="2832" max="2832" width="14.26953125" style="1" customWidth="1"/>
    <col min="2833" max="2833" width="14" style="1" bestFit="1" customWidth="1"/>
    <col min="2834" max="2834" width="11.54296875" style="1" bestFit="1" customWidth="1"/>
    <col min="2835" max="2835" width="13.81640625" style="1" bestFit="1" customWidth="1"/>
    <col min="2836" max="3073" width="10.90625" style="1"/>
    <col min="3074" max="3074" width="20.26953125" style="1" customWidth="1"/>
    <col min="3075" max="3075" width="21.7265625" style="1" customWidth="1"/>
    <col min="3076" max="3076" width="22" style="1" customWidth="1"/>
    <col min="3077" max="3077" width="17.1796875" style="1" customWidth="1"/>
    <col min="3078" max="3078" width="21.453125" style="1" customWidth="1"/>
    <col min="3079" max="3079" width="19.54296875" style="1" customWidth="1"/>
    <col min="3080" max="3080" width="14.1796875" style="1" bestFit="1" customWidth="1"/>
    <col min="3081" max="3081" width="8.453125" style="1" customWidth="1"/>
    <col min="3082" max="3082" width="14.453125" style="1" bestFit="1" customWidth="1"/>
    <col min="3083" max="3083" width="4.453125" style="1" customWidth="1"/>
    <col min="3084" max="3084" width="14.453125" style="1" bestFit="1" customWidth="1"/>
    <col min="3085" max="3085" width="13.453125" style="1" customWidth="1"/>
    <col min="3086" max="3086" width="14.7265625" style="1" bestFit="1" customWidth="1"/>
    <col min="3087" max="3087" width="14.26953125" style="1" bestFit="1" customWidth="1"/>
    <col min="3088" max="3088" width="14.26953125" style="1" customWidth="1"/>
    <col min="3089" max="3089" width="14" style="1" bestFit="1" customWidth="1"/>
    <col min="3090" max="3090" width="11.54296875" style="1" bestFit="1" customWidth="1"/>
    <col min="3091" max="3091" width="13.81640625" style="1" bestFit="1" customWidth="1"/>
    <col min="3092" max="3329" width="10.90625" style="1"/>
    <col min="3330" max="3330" width="20.26953125" style="1" customWidth="1"/>
    <col min="3331" max="3331" width="21.7265625" style="1" customWidth="1"/>
    <col min="3332" max="3332" width="22" style="1" customWidth="1"/>
    <col min="3333" max="3333" width="17.1796875" style="1" customWidth="1"/>
    <col min="3334" max="3334" width="21.453125" style="1" customWidth="1"/>
    <col min="3335" max="3335" width="19.54296875" style="1" customWidth="1"/>
    <col min="3336" max="3336" width="14.1796875" style="1" bestFit="1" customWidth="1"/>
    <col min="3337" max="3337" width="8.453125" style="1" customWidth="1"/>
    <col min="3338" max="3338" width="14.453125" style="1" bestFit="1" customWidth="1"/>
    <col min="3339" max="3339" width="4.453125" style="1" customWidth="1"/>
    <col min="3340" max="3340" width="14.453125" style="1" bestFit="1" customWidth="1"/>
    <col min="3341" max="3341" width="13.453125" style="1" customWidth="1"/>
    <col min="3342" max="3342" width="14.7265625" style="1" bestFit="1" customWidth="1"/>
    <col min="3343" max="3343" width="14.26953125" style="1" bestFit="1" customWidth="1"/>
    <col min="3344" max="3344" width="14.26953125" style="1" customWidth="1"/>
    <col min="3345" max="3345" width="14" style="1" bestFit="1" customWidth="1"/>
    <col min="3346" max="3346" width="11.54296875" style="1" bestFit="1" customWidth="1"/>
    <col min="3347" max="3347" width="13.81640625" style="1" bestFit="1" customWidth="1"/>
    <col min="3348" max="3585" width="10.90625" style="1"/>
    <col min="3586" max="3586" width="20.26953125" style="1" customWidth="1"/>
    <col min="3587" max="3587" width="21.7265625" style="1" customWidth="1"/>
    <col min="3588" max="3588" width="22" style="1" customWidth="1"/>
    <col min="3589" max="3589" width="17.1796875" style="1" customWidth="1"/>
    <col min="3590" max="3590" width="21.453125" style="1" customWidth="1"/>
    <col min="3591" max="3591" width="19.54296875" style="1" customWidth="1"/>
    <col min="3592" max="3592" width="14.1796875" style="1" bestFit="1" customWidth="1"/>
    <col min="3593" max="3593" width="8.453125" style="1" customWidth="1"/>
    <col min="3594" max="3594" width="14.453125" style="1" bestFit="1" customWidth="1"/>
    <col min="3595" max="3595" width="4.453125" style="1" customWidth="1"/>
    <col min="3596" max="3596" width="14.453125" style="1" bestFit="1" customWidth="1"/>
    <col min="3597" max="3597" width="13.453125" style="1" customWidth="1"/>
    <col min="3598" max="3598" width="14.7265625" style="1" bestFit="1" customWidth="1"/>
    <col min="3599" max="3599" width="14.26953125" style="1" bestFit="1" customWidth="1"/>
    <col min="3600" max="3600" width="14.26953125" style="1" customWidth="1"/>
    <col min="3601" max="3601" width="14" style="1" bestFit="1" customWidth="1"/>
    <col min="3602" max="3602" width="11.54296875" style="1" bestFit="1" customWidth="1"/>
    <col min="3603" max="3603" width="13.81640625" style="1" bestFit="1" customWidth="1"/>
    <col min="3604" max="3841" width="10.90625" style="1"/>
    <col min="3842" max="3842" width="20.26953125" style="1" customWidth="1"/>
    <col min="3843" max="3843" width="21.7265625" style="1" customWidth="1"/>
    <col min="3844" max="3844" width="22" style="1" customWidth="1"/>
    <col min="3845" max="3845" width="17.1796875" style="1" customWidth="1"/>
    <col min="3846" max="3846" width="21.453125" style="1" customWidth="1"/>
    <col min="3847" max="3847" width="19.54296875" style="1" customWidth="1"/>
    <col min="3848" max="3848" width="14.1796875" style="1" bestFit="1" customWidth="1"/>
    <col min="3849" max="3849" width="8.453125" style="1" customWidth="1"/>
    <col min="3850" max="3850" width="14.453125" style="1" bestFit="1" customWidth="1"/>
    <col min="3851" max="3851" width="4.453125" style="1" customWidth="1"/>
    <col min="3852" max="3852" width="14.453125" style="1" bestFit="1" customWidth="1"/>
    <col min="3853" max="3853" width="13.453125" style="1" customWidth="1"/>
    <col min="3854" max="3854" width="14.7265625" style="1" bestFit="1" customWidth="1"/>
    <col min="3855" max="3855" width="14.26953125" style="1" bestFit="1" customWidth="1"/>
    <col min="3856" max="3856" width="14.26953125" style="1" customWidth="1"/>
    <col min="3857" max="3857" width="14" style="1" bestFit="1" customWidth="1"/>
    <col min="3858" max="3858" width="11.54296875" style="1" bestFit="1" customWidth="1"/>
    <col min="3859" max="3859" width="13.81640625" style="1" bestFit="1" customWidth="1"/>
    <col min="3860" max="4097" width="10.90625" style="1"/>
    <col min="4098" max="4098" width="20.26953125" style="1" customWidth="1"/>
    <col min="4099" max="4099" width="21.7265625" style="1" customWidth="1"/>
    <col min="4100" max="4100" width="22" style="1" customWidth="1"/>
    <col min="4101" max="4101" width="17.1796875" style="1" customWidth="1"/>
    <col min="4102" max="4102" width="21.453125" style="1" customWidth="1"/>
    <col min="4103" max="4103" width="19.54296875" style="1" customWidth="1"/>
    <col min="4104" max="4104" width="14.1796875" style="1" bestFit="1" customWidth="1"/>
    <col min="4105" max="4105" width="8.453125" style="1" customWidth="1"/>
    <col min="4106" max="4106" width="14.453125" style="1" bestFit="1" customWidth="1"/>
    <col min="4107" max="4107" width="4.453125" style="1" customWidth="1"/>
    <col min="4108" max="4108" width="14.453125" style="1" bestFit="1" customWidth="1"/>
    <col min="4109" max="4109" width="13.453125" style="1" customWidth="1"/>
    <col min="4110" max="4110" width="14.7265625" style="1" bestFit="1" customWidth="1"/>
    <col min="4111" max="4111" width="14.26953125" style="1" bestFit="1" customWidth="1"/>
    <col min="4112" max="4112" width="14.26953125" style="1" customWidth="1"/>
    <col min="4113" max="4113" width="14" style="1" bestFit="1" customWidth="1"/>
    <col min="4114" max="4114" width="11.54296875" style="1" bestFit="1" customWidth="1"/>
    <col min="4115" max="4115" width="13.81640625" style="1" bestFit="1" customWidth="1"/>
    <col min="4116" max="4353" width="10.90625" style="1"/>
    <col min="4354" max="4354" width="20.26953125" style="1" customWidth="1"/>
    <col min="4355" max="4355" width="21.7265625" style="1" customWidth="1"/>
    <col min="4356" max="4356" width="22" style="1" customWidth="1"/>
    <col min="4357" max="4357" width="17.1796875" style="1" customWidth="1"/>
    <col min="4358" max="4358" width="21.453125" style="1" customWidth="1"/>
    <col min="4359" max="4359" width="19.54296875" style="1" customWidth="1"/>
    <col min="4360" max="4360" width="14.1796875" style="1" bestFit="1" customWidth="1"/>
    <col min="4361" max="4361" width="8.453125" style="1" customWidth="1"/>
    <col min="4362" max="4362" width="14.453125" style="1" bestFit="1" customWidth="1"/>
    <col min="4363" max="4363" width="4.453125" style="1" customWidth="1"/>
    <col min="4364" max="4364" width="14.453125" style="1" bestFit="1" customWidth="1"/>
    <col min="4365" max="4365" width="13.453125" style="1" customWidth="1"/>
    <col min="4366" max="4366" width="14.7265625" style="1" bestFit="1" customWidth="1"/>
    <col min="4367" max="4367" width="14.26953125" style="1" bestFit="1" customWidth="1"/>
    <col min="4368" max="4368" width="14.26953125" style="1" customWidth="1"/>
    <col min="4369" max="4369" width="14" style="1" bestFit="1" customWidth="1"/>
    <col min="4370" max="4370" width="11.54296875" style="1" bestFit="1" customWidth="1"/>
    <col min="4371" max="4371" width="13.81640625" style="1" bestFit="1" customWidth="1"/>
    <col min="4372" max="4609" width="10.90625" style="1"/>
    <col min="4610" max="4610" width="20.26953125" style="1" customWidth="1"/>
    <col min="4611" max="4611" width="21.7265625" style="1" customWidth="1"/>
    <col min="4612" max="4612" width="22" style="1" customWidth="1"/>
    <col min="4613" max="4613" width="17.1796875" style="1" customWidth="1"/>
    <col min="4614" max="4614" width="21.453125" style="1" customWidth="1"/>
    <col min="4615" max="4615" width="19.54296875" style="1" customWidth="1"/>
    <col min="4616" max="4616" width="14.1796875" style="1" bestFit="1" customWidth="1"/>
    <col min="4617" max="4617" width="8.453125" style="1" customWidth="1"/>
    <col min="4618" max="4618" width="14.453125" style="1" bestFit="1" customWidth="1"/>
    <col min="4619" max="4619" width="4.453125" style="1" customWidth="1"/>
    <col min="4620" max="4620" width="14.453125" style="1" bestFit="1" customWidth="1"/>
    <col min="4621" max="4621" width="13.453125" style="1" customWidth="1"/>
    <col min="4622" max="4622" width="14.7265625" style="1" bestFit="1" customWidth="1"/>
    <col min="4623" max="4623" width="14.26953125" style="1" bestFit="1" customWidth="1"/>
    <col min="4624" max="4624" width="14.26953125" style="1" customWidth="1"/>
    <col min="4625" max="4625" width="14" style="1" bestFit="1" customWidth="1"/>
    <col min="4626" max="4626" width="11.54296875" style="1" bestFit="1" customWidth="1"/>
    <col min="4627" max="4627" width="13.81640625" style="1" bestFit="1" customWidth="1"/>
    <col min="4628" max="4865" width="10.90625" style="1"/>
    <col min="4866" max="4866" width="20.26953125" style="1" customWidth="1"/>
    <col min="4867" max="4867" width="21.7265625" style="1" customWidth="1"/>
    <col min="4868" max="4868" width="22" style="1" customWidth="1"/>
    <col min="4869" max="4869" width="17.1796875" style="1" customWidth="1"/>
    <col min="4870" max="4870" width="21.453125" style="1" customWidth="1"/>
    <col min="4871" max="4871" width="19.54296875" style="1" customWidth="1"/>
    <col min="4872" max="4872" width="14.1796875" style="1" bestFit="1" customWidth="1"/>
    <col min="4873" max="4873" width="8.453125" style="1" customWidth="1"/>
    <col min="4874" max="4874" width="14.453125" style="1" bestFit="1" customWidth="1"/>
    <col min="4875" max="4875" width="4.453125" style="1" customWidth="1"/>
    <col min="4876" max="4876" width="14.453125" style="1" bestFit="1" customWidth="1"/>
    <col min="4877" max="4877" width="13.453125" style="1" customWidth="1"/>
    <col min="4878" max="4878" width="14.7265625" style="1" bestFit="1" customWidth="1"/>
    <col min="4879" max="4879" width="14.26953125" style="1" bestFit="1" customWidth="1"/>
    <col min="4880" max="4880" width="14.26953125" style="1" customWidth="1"/>
    <col min="4881" max="4881" width="14" style="1" bestFit="1" customWidth="1"/>
    <col min="4882" max="4882" width="11.54296875" style="1" bestFit="1" customWidth="1"/>
    <col min="4883" max="4883" width="13.81640625" style="1" bestFit="1" customWidth="1"/>
    <col min="4884" max="5121" width="10.90625" style="1"/>
    <col min="5122" max="5122" width="20.26953125" style="1" customWidth="1"/>
    <col min="5123" max="5123" width="21.7265625" style="1" customWidth="1"/>
    <col min="5124" max="5124" width="22" style="1" customWidth="1"/>
    <col min="5125" max="5125" width="17.1796875" style="1" customWidth="1"/>
    <col min="5126" max="5126" width="21.453125" style="1" customWidth="1"/>
    <col min="5127" max="5127" width="19.54296875" style="1" customWidth="1"/>
    <col min="5128" max="5128" width="14.1796875" style="1" bestFit="1" customWidth="1"/>
    <col min="5129" max="5129" width="8.453125" style="1" customWidth="1"/>
    <col min="5130" max="5130" width="14.453125" style="1" bestFit="1" customWidth="1"/>
    <col min="5131" max="5131" width="4.453125" style="1" customWidth="1"/>
    <col min="5132" max="5132" width="14.453125" style="1" bestFit="1" customWidth="1"/>
    <col min="5133" max="5133" width="13.453125" style="1" customWidth="1"/>
    <col min="5134" max="5134" width="14.7265625" style="1" bestFit="1" customWidth="1"/>
    <col min="5135" max="5135" width="14.26953125" style="1" bestFit="1" customWidth="1"/>
    <col min="5136" max="5136" width="14.26953125" style="1" customWidth="1"/>
    <col min="5137" max="5137" width="14" style="1" bestFit="1" customWidth="1"/>
    <col min="5138" max="5138" width="11.54296875" style="1" bestFit="1" customWidth="1"/>
    <col min="5139" max="5139" width="13.81640625" style="1" bestFit="1" customWidth="1"/>
    <col min="5140" max="5377" width="10.90625" style="1"/>
    <col min="5378" max="5378" width="20.26953125" style="1" customWidth="1"/>
    <col min="5379" max="5379" width="21.7265625" style="1" customWidth="1"/>
    <col min="5380" max="5380" width="22" style="1" customWidth="1"/>
    <col min="5381" max="5381" width="17.1796875" style="1" customWidth="1"/>
    <col min="5382" max="5382" width="21.453125" style="1" customWidth="1"/>
    <col min="5383" max="5383" width="19.54296875" style="1" customWidth="1"/>
    <col min="5384" max="5384" width="14.1796875" style="1" bestFit="1" customWidth="1"/>
    <col min="5385" max="5385" width="8.453125" style="1" customWidth="1"/>
    <col min="5386" max="5386" width="14.453125" style="1" bestFit="1" customWidth="1"/>
    <col min="5387" max="5387" width="4.453125" style="1" customWidth="1"/>
    <col min="5388" max="5388" width="14.453125" style="1" bestFit="1" customWidth="1"/>
    <col min="5389" max="5389" width="13.453125" style="1" customWidth="1"/>
    <col min="5390" max="5390" width="14.7265625" style="1" bestFit="1" customWidth="1"/>
    <col min="5391" max="5391" width="14.26953125" style="1" bestFit="1" customWidth="1"/>
    <col min="5392" max="5392" width="14.26953125" style="1" customWidth="1"/>
    <col min="5393" max="5393" width="14" style="1" bestFit="1" customWidth="1"/>
    <col min="5394" max="5394" width="11.54296875" style="1" bestFit="1" customWidth="1"/>
    <col min="5395" max="5395" width="13.81640625" style="1" bestFit="1" customWidth="1"/>
    <col min="5396" max="5633" width="10.90625" style="1"/>
    <col min="5634" max="5634" width="20.26953125" style="1" customWidth="1"/>
    <col min="5635" max="5635" width="21.7265625" style="1" customWidth="1"/>
    <col min="5636" max="5636" width="22" style="1" customWidth="1"/>
    <col min="5637" max="5637" width="17.1796875" style="1" customWidth="1"/>
    <col min="5638" max="5638" width="21.453125" style="1" customWidth="1"/>
    <col min="5639" max="5639" width="19.54296875" style="1" customWidth="1"/>
    <col min="5640" max="5640" width="14.1796875" style="1" bestFit="1" customWidth="1"/>
    <col min="5641" max="5641" width="8.453125" style="1" customWidth="1"/>
    <col min="5642" max="5642" width="14.453125" style="1" bestFit="1" customWidth="1"/>
    <col min="5643" max="5643" width="4.453125" style="1" customWidth="1"/>
    <col min="5644" max="5644" width="14.453125" style="1" bestFit="1" customWidth="1"/>
    <col min="5645" max="5645" width="13.453125" style="1" customWidth="1"/>
    <col min="5646" max="5646" width="14.7265625" style="1" bestFit="1" customWidth="1"/>
    <col min="5647" max="5647" width="14.26953125" style="1" bestFit="1" customWidth="1"/>
    <col min="5648" max="5648" width="14.26953125" style="1" customWidth="1"/>
    <col min="5649" max="5649" width="14" style="1" bestFit="1" customWidth="1"/>
    <col min="5650" max="5650" width="11.54296875" style="1" bestFit="1" customWidth="1"/>
    <col min="5651" max="5651" width="13.81640625" style="1" bestFit="1" customWidth="1"/>
    <col min="5652" max="5889" width="10.90625" style="1"/>
    <col min="5890" max="5890" width="20.26953125" style="1" customWidth="1"/>
    <col min="5891" max="5891" width="21.7265625" style="1" customWidth="1"/>
    <col min="5892" max="5892" width="22" style="1" customWidth="1"/>
    <col min="5893" max="5893" width="17.1796875" style="1" customWidth="1"/>
    <col min="5894" max="5894" width="21.453125" style="1" customWidth="1"/>
    <col min="5895" max="5895" width="19.54296875" style="1" customWidth="1"/>
    <col min="5896" max="5896" width="14.1796875" style="1" bestFit="1" customWidth="1"/>
    <col min="5897" max="5897" width="8.453125" style="1" customWidth="1"/>
    <col min="5898" max="5898" width="14.453125" style="1" bestFit="1" customWidth="1"/>
    <col min="5899" max="5899" width="4.453125" style="1" customWidth="1"/>
    <col min="5900" max="5900" width="14.453125" style="1" bestFit="1" customWidth="1"/>
    <col min="5901" max="5901" width="13.453125" style="1" customWidth="1"/>
    <col min="5902" max="5902" width="14.7265625" style="1" bestFit="1" customWidth="1"/>
    <col min="5903" max="5903" width="14.26953125" style="1" bestFit="1" customWidth="1"/>
    <col min="5904" max="5904" width="14.26953125" style="1" customWidth="1"/>
    <col min="5905" max="5905" width="14" style="1" bestFit="1" customWidth="1"/>
    <col min="5906" max="5906" width="11.54296875" style="1" bestFit="1" customWidth="1"/>
    <col min="5907" max="5907" width="13.81640625" style="1" bestFit="1" customWidth="1"/>
    <col min="5908" max="6145" width="10.90625" style="1"/>
    <col min="6146" max="6146" width="20.26953125" style="1" customWidth="1"/>
    <col min="6147" max="6147" width="21.7265625" style="1" customWidth="1"/>
    <col min="6148" max="6148" width="22" style="1" customWidth="1"/>
    <col min="6149" max="6149" width="17.1796875" style="1" customWidth="1"/>
    <col min="6150" max="6150" width="21.453125" style="1" customWidth="1"/>
    <col min="6151" max="6151" width="19.54296875" style="1" customWidth="1"/>
    <col min="6152" max="6152" width="14.1796875" style="1" bestFit="1" customWidth="1"/>
    <col min="6153" max="6153" width="8.453125" style="1" customWidth="1"/>
    <col min="6154" max="6154" width="14.453125" style="1" bestFit="1" customWidth="1"/>
    <col min="6155" max="6155" width="4.453125" style="1" customWidth="1"/>
    <col min="6156" max="6156" width="14.453125" style="1" bestFit="1" customWidth="1"/>
    <col min="6157" max="6157" width="13.453125" style="1" customWidth="1"/>
    <col min="6158" max="6158" width="14.7265625" style="1" bestFit="1" customWidth="1"/>
    <col min="6159" max="6159" width="14.26953125" style="1" bestFit="1" customWidth="1"/>
    <col min="6160" max="6160" width="14.26953125" style="1" customWidth="1"/>
    <col min="6161" max="6161" width="14" style="1" bestFit="1" customWidth="1"/>
    <col min="6162" max="6162" width="11.54296875" style="1" bestFit="1" customWidth="1"/>
    <col min="6163" max="6163" width="13.81640625" style="1" bestFit="1" customWidth="1"/>
    <col min="6164" max="6401" width="10.90625" style="1"/>
    <col min="6402" max="6402" width="20.26953125" style="1" customWidth="1"/>
    <col min="6403" max="6403" width="21.7265625" style="1" customWidth="1"/>
    <col min="6404" max="6404" width="22" style="1" customWidth="1"/>
    <col min="6405" max="6405" width="17.1796875" style="1" customWidth="1"/>
    <col min="6406" max="6406" width="21.453125" style="1" customWidth="1"/>
    <col min="6407" max="6407" width="19.54296875" style="1" customWidth="1"/>
    <col min="6408" max="6408" width="14.1796875" style="1" bestFit="1" customWidth="1"/>
    <col min="6409" max="6409" width="8.453125" style="1" customWidth="1"/>
    <col min="6410" max="6410" width="14.453125" style="1" bestFit="1" customWidth="1"/>
    <col min="6411" max="6411" width="4.453125" style="1" customWidth="1"/>
    <col min="6412" max="6412" width="14.453125" style="1" bestFit="1" customWidth="1"/>
    <col min="6413" max="6413" width="13.453125" style="1" customWidth="1"/>
    <col min="6414" max="6414" width="14.7265625" style="1" bestFit="1" customWidth="1"/>
    <col min="6415" max="6415" width="14.26953125" style="1" bestFit="1" customWidth="1"/>
    <col min="6416" max="6416" width="14.26953125" style="1" customWidth="1"/>
    <col min="6417" max="6417" width="14" style="1" bestFit="1" customWidth="1"/>
    <col min="6418" max="6418" width="11.54296875" style="1" bestFit="1" customWidth="1"/>
    <col min="6419" max="6419" width="13.81640625" style="1" bestFit="1" customWidth="1"/>
    <col min="6420" max="6657" width="10.90625" style="1"/>
    <col min="6658" max="6658" width="20.26953125" style="1" customWidth="1"/>
    <col min="6659" max="6659" width="21.7265625" style="1" customWidth="1"/>
    <col min="6660" max="6660" width="22" style="1" customWidth="1"/>
    <col min="6661" max="6661" width="17.1796875" style="1" customWidth="1"/>
    <col min="6662" max="6662" width="21.453125" style="1" customWidth="1"/>
    <col min="6663" max="6663" width="19.54296875" style="1" customWidth="1"/>
    <col min="6664" max="6664" width="14.1796875" style="1" bestFit="1" customWidth="1"/>
    <col min="6665" max="6665" width="8.453125" style="1" customWidth="1"/>
    <col min="6666" max="6666" width="14.453125" style="1" bestFit="1" customWidth="1"/>
    <col min="6667" max="6667" width="4.453125" style="1" customWidth="1"/>
    <col min="6668" max="6668" width="14.453125" style="1" bestFit="1" customWidth="1"/>
    <col min="6669" max="6669" width="13.453125" style="1" customWidth="1"/>
    <col min="6670" max="6670" width="14.7265625" style="1" bestFit="1" customWidth="1"/>
    <col min="6671" max="6671" width="14.26953125" style="1" bestFit="1" customWidth="1"/>
    <col min="6672" max="6672" width="14.26953125" style="1" customWidth="1"/>
    <col min="6673" max="6673" width="14" style="1" bestFit="1" customWidth="1"/>
    <col min="6674" max="6674" width="11.54296875" style="1" bestFit="1" customWidth="1"/>
    <col min="6675" max="6675" width="13.81640625" style="1" bestFit="1" customWidth="1"/>
    <col min="6676" max="6913" width="10.90625" style="1"/>
    <col min="6914" max="6914" width="20.26953125" style="1" customWidth="1"/>
    <col min="6915" max="6915" width="21.7265625" style="1" customWidth="1"/>
    <col min="6916" max="6916" width="22" style="1" customWidth="1"/>
    <col min="6917" max="6917" width="17.1796875" style="1" customWidth="1"/>
    <col min="6918" max="6918" width="21.453125" style="1" customWidth="1"/>
    <col min="6919" max="6919" width="19.54296875" style="1" customWidth="1"/>
    <col min="6920" max="6920" width="14.1796875" style="1" bestFit="1" customWidth="1"/>
    <col min="6921" max="6921" width="8.453125" style="1" customWidth="1"/>
    <col min="6922" max="6922" width="14.453125" style="1" bestFit="1" customWidth="1"/>
    <col min="6923" max="6923" width="4.453125" style="1" customWidth="1"/>
    <col min="6924" max="6924" width="14.453125" style="1" bestFit="1" customWidth="1"/>
    <col min="6925" max="6925" width="13.453125" style="1" customWidth="1"/>
    <col min="6926" max="6926" width="14.7265625" style="1" bestFit="1" customWidth="1"/>
    <col min="6927" max="6927" width="14.26953125" style="1" bestFit="1" customWidth="1"/>
    <col min="6928" max="6928" width="14.26953125" style="1" customWidth="1"/>
    <col min="6929" max="6929" width="14" style="1" bestFit="1" customWidth="1"/>
    <col min="6930" max="6930" width="11.54296875" style="1" bestFit="1" customWidth="1"/>
    <col min="6931" max="6931" width="13.81640625" style="1" bestFit="1" customWidth="1"/>
    <col min="6932" max="7169" width="10.90625" style="1"/>
    <col min="7170" max="7170" width="20.26953125" style="1" customWidth="1"/>
    <col min="7171" max="7171" width="21.7265625" style="1" customWidth="1"/>
    <col min="7172" max="7172" width="22" style="1" customWidth="1"/>
    <col min="7173" max="7173" width="17.1796875" style="1" customWidth="1"/>
    <col min="7174" max="7174" width="21.453125" style="1" customWidth="1"/>
    <col min="7175" max="7175" width="19.54296875" style="1" customWidth="1"/>
    <col min="7176" max="7176" width="14.1796875" style="1" bestFit="1" customWidth="1"/>
    <col min="7177" max="7177" width="8.453125" style="1" customWidth="1"/>
    <col min="7178" max="7178" width="14.453125" style="1" bestFit="1" customWidth="1"/>
    <col min="7179" max="7179" width="4.453125" style="1" customWidth="1"/>
    <col min="7180" max="7180" width="14.453125" style="1" bestFit="1" customWidth="1"/>
    <col min="7181" max="7181" width="13.453125" style="1" customWidth="1"/>
    <col min="7182" max="7182" width="14.7265625" style="1" bestFit="1" customWidth="1"/>
    <col min="7183" max="7183" width="14.26953125" style="1" bestFit="1" customWidth="1"/>
    <col min="7184" max="7184" width="14.26953125" style="1" customWidth="1"/>
    <col min="7185" max="7185" width="14" style="1" bestFit="1" customWidth="1"/>
    <col min="7186" max="7186" width="11.54296875" style="1" bestFit="1" customWidth="1"/>
    <col min="7187" max="7187" width="13.81640625" style="1" bestFit="1" customWidth="1"/>
    <col min="7188" max="7425" width="10.90625" style="1"/>
    <col min="7426" max="7426" width="20.26953125" style="1" customWidth="1"/>
    <col min="7427" max="7427" width="21.7265625" style="1" customWidth="1"/>
    <col min="7428" max="7428" width="22" style="1" customWidth="1"/>
    <col min="7429" max="7429" width="17.1796875" style="1" customWidth="1"/>
    <col min="7430" max="7430" width="21.453125" style="1" customWidth="1"/>
    <col min="7431" max="7431" width="19.54296875" style="1" customWidth="1"/>
    <col min="7432" max="7432" width="14.1796875" style="1" bestFit="1" customWidth="1"/>
    <col min="7433" max="7433" width="8.453125" style="1" customWidth="1"/>
    <col min="7434" max="7434" width="14.453125" style="1" bestFit="1" customWidth="1"/>
    <col min="7435" max="7435" width="4.453125" style="1" customWidth="1"/>
    <col min="7436" max="7436" width="14.453125" style="1" bestFit="1" customWidth="1"/>
    <col min="7437" max="7437" width="13.453125" style="1" customWidth="1"/>
    <col min="7438" max="7438" width="14.7265625" style="1" bestFit="1" customWidth="1"/>
    <col min="7439" max="7439" width="14.26953125" style="1" bestFit="1" customWidth="1"/>
    <col min="7440" max="7440" width="14.26953125" style="1" customWidth="1"/>
    <col min="7441" max="7441" width="14" style="1" bestFit="1" customWidth="1"/>
    <col min="7442" max="7442" width="11.54296875" style="1" bestFit="1" customWidth="1"/>
    <col min="7443" max="7443" width="13.81640625" style="1" bestFit="1" customWidth="1"/>
    <col min="7444" max="7681" width="10.90625" style="1"/>
    <col min="7682" max="7682" width="20.26953125" style="1" customWidth="1"/>
    <col min="7683" max="7683" width="21.7265625" style="1" customWidth="1"/>
    <col min="7684" max="7684" width="22" style="1" customWidth="1"/>
    <col min="7685" max="7685" width="17.1796875" style="1" customWidth="1"/>
    <col min="7686" max="7686" width="21.453125" style="1" customWidth="1"/>
    <col min="7687" max="7687" width="19.54296875" style="1" customWidth="1"/>
    <col min="7688" max="7688" width="14.1796875" style="1" bestFit="1" customWidth="1"/>
    <col min="7689" max="7689" width="8.453125" style="1" customWidth="1"/>
    <col min="7690" max="7690" width="14.453125" style="1" bestFit="1" customWidth="1"/>
    <col min="7691" max="7691" width="4.453125" style="1" customWidth="1"/>
    <col min="7692" max="7692" width="14.453125" style="1" bestFit="1" customWidth="1"/>
    <col min="7693" max="7693" width="13.453125" style="1" customWidth="1"/>
    <col min="7694" max="7694" width="14.7265625" style="1" bestFit="1" customWidth="1"/>
    <col min="7695" max="7695" width="14.26953125" style="1" bestFit="1" customWidth="1"/>
    <col min="7696" max="7696" width="14.26953125" style="1" customWidth="1"/>
    <col min="7697" max="7697" width="14" style="1" bestFit="1" customWidth="1"/>
    <col min="7698" max="7698" width="11.54296875" style="1" bestFit="1" customWidth="1"/>
    <col min="7699" max="7699" width="13.81640625" style="1" bestFit="1" customWidth="1"/>
    <col min="7700" max="7937" width="10.90625" style="1"/>
    <col min="7938" max="7938" width="20.26953125" style="1" customWidth="1"/>
    <col min="7939" max="7939" width="21.7265625" style="1" customWidth="1"/>
    <col min="7940" max="7940" width="22" style="1" customWidth="1"/>
    <col min="7941" max="7941" width="17.1796875" style="1" customWidth="1"/>
    <col min="7942" max="7942" width="21.453125" style="1" customWidth="1"/>
    <col min="7943" max="7943" width="19.54296875" style="1" customWidth="1"/>
    <col min="7944" max="7944" width="14.1796875" style="1" bestFit="1" customWidth="1"/>
    <col min="7945" max="7945" width="8.453125" style="1" customWidth="1"/>
    <col min="7946" max="7946" width="14.453125" style="1" bestFit="1" customWidth="1"/>
    <col min="7947" max="7947" width="4.453125" style="1" customWidth="1"/>
    <col min="7948" max="7948" width="14.453125" style="1" bestFit="1" customWidth="1"/>
    <col min="7949" max="7949" width="13.453125" style="1" customWidth="1"/>
    <col min="7950" max="7950" width="14.7265625" style="1" bestFit="1" customWidth="1"/>
    <col min="7951" max="7951" width="14.26953125" style="1" bestFit="1" customWidth="1"/>
    <col min="7952" max="7952" width="14.26953125" style="1" customWidth="1"/>
    <col min="7953" max="7953" width="14" style="1" bestFit="1" customWidth="1"/>
    <col min="7954" max="7954" width="11.54296875" style="1" bestFit="1" customWidth="1"/>
    <col min="7955" max="7955" width="13.81640625" style="1" bestFit="1" customWidth="1"/>
    <col min="7956" max="8193" width="10.90625" style="1"/>
    <col min="8194" max="8194" width="20.26953125" style="1" customWidth="1"/>
    <col min="8195" max="8195" width="21.7265625" style="1" customWidth="1"/>
    <col min="8196" max="8196" width="22" style="1" customWidth="1"/>
    <col min="8197" max="8197" width="17.1796875" style="1" customWidth="1"/>
    <col min="8198" max="8198" width="21.453125" style="1" customWidth="1"/>
    <col min="8199" max="8199" width="19.54296875" style="1" customWidth="1"/>
    <col min="8200" max="8200" width="14.1796875" style="1" bestFit="1" customWidth="1"/>
    <col min="8201" max="8201" width="8.453125" style="1" customWidth="1"/>
    <col min="8202" max="8202" width="14.453125" style="1" bestFit="1" customWidth="1"/>
    <col min="8203" max="8203" width="4.453125" style="1" customWidth="1"/>
    <col min="8204" max="8204" width="14.453125" style="1" bestFit="1" customWidth="1"/>
    <col min="8205" max="8205" width="13.453125" style="1" customWidth="1"/>
    <col min="8206" max="8206" width="14.7265625" style="1" bestFit="1" customWidth="1"/>
    <col min="8207" max="8207" width="14.26953125" style="1" bestFit="1" customWidth="1"/>
    <col min="8208" max="8208" width="14.26953125" style="1" customWidth="1"/>
    <col min="8209" max="8209" width="14" style="1" bestFit="1" customWidth="1"/>
    <col min="8210" max="8210" width="11.54296875" style="1" bestFit="1" customWidth="1"/>
    <col min="8211" max="8211" width="13.81640625" style="1" bestFit="1" customWidth="1"/>
    <col min="8212" max="8449" width="10.90625" style="1"/>
    <col min="8450" max="8450" width="20.26953125" style="1" customWidth="1"/>
    <col min="8451" max="8451" width="21.7265625" style="1" customWidth="1"/>
    <col min="8452" max="8452" width="22" style="1" customWidth="1"/>
    <col min="8453" max="8453" width="17.1796875" style="1" customWidth="1"/>
    <col min="8454" max="8454" width="21.453125" style="1" customWidth="1"/>
    <col min="8455" max="8455" width="19.54296875" style="1" customWidth="1"/>
    <col min="8456" max="8456" width="14.1796875" style="1" bestFit="1" customWidth="1"/>
    <col min="8457" max="8457" width="8.453125" style="1" customWidth="1"/>
    <col min="8458" max="8458" width="14.453125" style="1" bestFit="1" customWidth="1"/>
    <col min="8459" max="8459" width="4.453125" style="1" customWidth="1"/>
    <col min="8460" max="8460" width="14.453125" style="1" bestFit="1" customWidth="1"/>
    <col min="8461" max="8461" width="13.453125" style="1" customWidth="1"/>
    <col min="8462" max="8462" width="14.7265625" style="1" bestFit="1" customWidth="1"/>
    <col min="8463" max="8463" width="14.26953125" style="1" bestFit="1" customWidth="1"/>
    <col min="8464" max="8464" width="14.26953125" style="1" customWidth="1"/>
    <col min="8465" max="8465" width="14" style="1" bestFit="1" customWidth="1"/>
    <col min="8466" max="8466" width="11.54296875" style="1" bestFit="1" customWidth="1"/>
    <col min="8467" max="8467" width="13.81640625" style="1" bestFit="1" customWidth="1"/>
    <col min="8468" max="8705" width="10.90625" style="1"/>
    <col min="8706" max="8706" width="20.26953125" style="1" customWidth="1"/>
    <col min="8707" max="8707" width="21.7265625" style="1" customWidth="1"/>
    <col min="8708" max="8708" width="22" style="1" customWidth="1"/>
    <col min="8709" max="8709" width="17.1796875" style="1" customWidth="1"/>
    <col min="8710" max="8710" width="21.453125" style="1" customWidth="1"/>
    <col min="8711" max="8711" width="19.54296875" style="1" customWidth="1"/>
    <col min="8712" max="8712" width="14.1796875" style="1" bestFit="1" customWidth="1"/>
    <col min="8713" max="8713" width="8.453125" style="1" customWidth="1"/>
    <col min="8714" max="8714" width="14.453125" style="1" bestFit="1" customWidth="1"/>
    <col min="8715" max="8715" width="4.453125" style="1" customWidth="1"/>
    <col min="8716" max="8716" width="14.453125" style="1" bestFit="1" customWidth="1"/>
    <col min="8717" max="8717" width="13.453125" style="1" customWidth="1"/>
    <col min="8718" max="8718" width="14.7265625" style="1" bestFit="1" customWidth="1"/>
    <col min="8719" max="8719" width="14.26953125" style="1" bestFit="1" customWidth="1"/>
    <col min="8720" max="8720" width="14.26953125" style="1" customWidth="1"/>
    <col min="8721" max="8721" width="14" style="1" bestFit="1" customWidth="1"/>
    <col min="8722" max="8722" width="11.54296875" style="1" bestFit="1" customWidth="1"/>
    <col min="8723" max="8723" width="13.81640625" style="1" bestFit="1" customWidth="1"/>
    <col min="8724" max="8961" width="10.90625" style="1"/>
    <col min="8962" max="8962" width="20.26953125" style="1" customWidth="1"/>
    <col min="8963" max="8963" width="21.7265625" style="1" customWidth="1"/>
    <col min="8964" max="8964" width="22" style="1" customWidth="1"/>
    <col min="8965" max="8965" width="17.1796875" style="1" customWidth="1"/>
    <col min="8966" max="8966" width="21.453125" style="1" customWidth="1"/>
    <col min="8967" max="8967" width="19.54296875" style="1" customWidth="1"/>
    <col min="8968" max="8968" width="14.1796875" style="1" bestFit="1" customWidth="1"/>
    <col min="8969" max="8969" width="8.453125" style="1" customWidth="1"/>
    <col min="8970" max="8970" width="14.453125" style="1" bestFit="1" customWidth="1"/>
    <col min="8971" max="8971" width="4.453125" style="1" customWidth="1"/>
    <col min="8972" max="8972" width="14.453125" style="1" bestFit="1" customWidth="1"/>
    <col min="8973" max="8973" width="13.453125" style="1" customWidth="1"/>
    <col min="8974" max="8974" width="14.7265625" style="1" bestFit="1" customWidth="1"/>
    <col min="8975" max="8975" width="14.26953125" style="1" bestFit="1" customWidth="1"/>
    <col min="8976" max="8976" width="14.26953125" style="1" customWidth="1"/>
    <col min="8977" max="8977" width="14" style="1" bestFit="1" customWidth="1"/>
    <col min="8978" max="8978" width="11.54296875" style="1" bestFit="1" customWidth="1"/>
    <col min="8979" max="8979" width="13.81640625" style="1" bestFit="1" customWidth="1"/>
    <col min="8980" max="9217" width="10.90625" style="1"/>
    <col min="9218" max="9218" width="20.26953125" style="1" customWidth="1"/>
    <col min="9219" max="9219" width="21.7265625" style="1" customWidth="1"/>
    <col min="9220" max="9220" width="22" style="1" customWidth="1"/>
    <col min="9221" max="9221" width="17.1796875" style="1" customWidth="1"/>
    <col min="9222" max="9222" width="21.453125" style="1" customWidth="1"/>
    <col min="9223" max="9223" width="19.54296875" style="1" customWidth="1"/>
    <col min="9224" max="9224" width="14.1796875" style="1" bestFit="1" customWidth="1"/>
    <col min="9225" max="9225" width="8.453125" style="1" customWidth="1"/>
    <col min="9226" max="9226" width="14.453125" style="1" bestFit="1" customWidth="1"/>
    <col min="9227" max="9227" width="4.453125" style="1" customWidth="1"/>
    <col min="9228" max="9228" width="14.453125" style="1" bestFit="1" customWidth="1"/>
    <col min="9229" max="9229" width="13.453125" style="1" customWidth="1"/>
    <col min="9230" max="9230" width="14.7265625" style="1" bestFit="1" customWidth="1"/>
    <col min="9231" max="9231" width="14.26953125" style="1" bestFit="1" customWidth="1"/>
    <col min="9232" max="9232" width="14.26953125" style="1" customWidth="1"/>
    <col min="9233" max="9233" width="14" style="1" bestFit="1" customWidth="1"/>
    <col min="9234" max="9234" width="11.54296875" style="1" bestFit="1" customWidth="1"/>
    <col min="9235" max="9235" width="13.81640625" style="1" bestFit="1" customWidth="1"/>
    <col min="9236" max="9473" width="10.90625" style="1"/>
    <col min="9474" max="9474" width="20.26953125" style="1" customWidth="1"/>
    <col min="9475" max="9475" width="21.7265625" style="1" customWidth="1"/>
    <col min="9476" max="9476" width="22" style="1" customWidth="1"/>
    <col min="9477" max="9477" width="17.1796875" style="1" customWidth="1"/>
    <col min="9478" max="9478" width="21.453125" style="1" customWidth="1"/>
    <col min="9479" max="9479" width="19.54296875" style="1" customWidth="1"/>
    <col min="9480" max="9480" width="14.1796875" style="1" bestFit="1" customWidth="1"/>
    <col min="9481" max="9481" width="8.453125" style="1" customWidth="1"/>
    <col min="9482" max="9482" width="14.453125" style="1" bestFit="1" customWidth="1"/>
    <col min="9483" max="9483" width="4.453125" style="1" customWidth="1"/>
    <col min="9484" max="9484" width="14.453125" style="1" bestFit="1" customWidth="1"/>
    <col min="9485" max="9485" width="13.453125" style="1" customWidth="1"/>
    <col min="9486" max="9486" width="14.7265625" style="1" bestFit="1" customWidth="1"/>
    <col min="9487" max="9487" width="14.26953125" style="1" bestFit="1" customWidth="1"/>
    <col min="9488" max="9488" width="14.26953125" style="1" customWidth="1"/>
    <col min="9489" max="9489" width="14" style="1" bestFit="1" customWidth="1"/>
    <col min="9490" max="9490" width="11.54296875" style="1" bestFit="1" customWidth="1"/>
    <col min="9491" max="9491" width="13.81640625" style="1" bestFit="1" customWidth="1"/>
    <col min="9492" max="9729" width="10.90625" style="1"/>
    <col min="9730" max="9730" width="20.26953125" style="1" customWidth="1"/>
    <col min="9731" max="9731" width="21.7265625" style="1" customWidth="1"/>
    <col min="9732" max="9732" width="22" style="1" customWidth="1"/>
    <col min="9733" max="9733" width="17.1796875" style="1" customWidth="1"/>
    <col min="9734" max="9734" width="21.453125" style="1" customWidth="1"/>
    <col min="9735" max="9735" width="19.54296875" style="1" customWidth="1"/>
    <col min="9736" max="9736" width="14.1796875" style="1" bestFit="1" customWidth="1"/>
    <col min="9737" max="9737" width="8.453125" style="1" customWidth="1"/>
    <col min="9738" max="9738" width="14.453125" style="1" bestFit="1" customWidth="1"/>
    <col min="9739" max="9739" width="4.453125" style="1" customWidth="1"/>
    <col min="9740" max="9740" width="14.453125" style="1" bestFit="1" customWidth="1"/>
    <col min="9741" max="9741" width="13.453125" style="1" customWidth="1"/>
    <col min="9742" max="9742" width="14.7265625" style="1" bestFit="1" customWidth="1"/>
    <col min="9743" max="9743" width="14.26953125" style="1" bestFit="1" customWidth="1"/>
    <col min="9744" max="9744" width="14.26953125" style="1" customWidth="1"/>
    <col min="9745" max="9745" width="14" style="1" bestFit="1" customWidth="1"/>
    <col min="9746" max="9746" width="11.54296875" style="1" bestFit="1" customWidth="1"/>
    <col min="9747" max="9747" width="13.81640625" style="1" bestFit="1" customWidth="1"/>
    <col min="9748" max="9985" width="10.90625" style="1"/>
    <col min="9986" max="9986" width="20.26953125" style="1" customWidth="1"/>
    <col min="9987" max="9987" width="21.7265625" style="1" customWidth="1"/>
    <col min="9988" max="9988" width="22" style="1" customWidth="1"/>
    <col min="9989" max="9989" width="17.1796875" style="1" customWidth="1"/>
    <col min="9990" max="9990" width="21.453125" style="1" customWidth="1"/>
    <col min="9991" max="9991" width="19.54296875" style="1" customWidth="1"/>
    <col min="9992" max="9992" width="14.1796875" style="1" bestFit="1" customWidth="1"/>
    <col min="9993" max="9993" width="8.453125" style="1" customWidth="1"/>
    <col min="9994" max="9994" width="14.453125" style="1" bestFit="1" customWidth="1"/>
    <col min="9995" max="9995" width="4.453125" style="1" customWidth="1"/>
    <col min="9996" max="9996" width="14.453125" style="1" bestFit="1" customWidth="1"/>
    <col min="9997" max="9997" width="13.453125" style="1" customWidth="1"/>
    <col min="9998" max="9998" width="14.7265625" style="1" bestFit="1" customWidth="1"/>
    <col min="9999" max="9999" width="14.26953125" style="1" bestFit="1" customWidth="1"/>
    <col min="10000" max="10000" width="14.26953125" style="1" customWidth="1"/>
    <col min="10001" max="10001" width="14" style="1" bestFit="1" customWidth="1"/>
    <col min="10002" max="10002" width="11.54296875" style="1" bestFit="1" customWidth="1"/>
    <col min="10003" max="10003" width="13.81640625" style="1" bestFit="1" customWidth="1"/>
    <col min="10004" max="10241" width="10.90625" style="1"/>
    <col min="10242" max="10242" width="20.26953125" style="1" customWidth="1"/>
    <col min="10243" max="10243" width="21.7265625" style="1" customWidth="1"/>
    <col min="10244" max="10244" width="22" style="1" customWidth="1"/>
    <col min="10245" max="10245" width="17.1796875" style="1" customWidth="1"/>
    <col min="10246" max="10246" width="21.453125" style="1" customWidth="1"/>
    <col min="10247" max="10247" width="19.54296875" style="1" customWidth="1"/>
    <col min="10248" max="10248" width="14.1796875" style="1" bestFit="1" customWidth="1"/>
    <col min="10249" max="10249" width="8.453125" style="1" customWidth="1"/>
    <col min="10250" max="10250" width="14.453125" style="1" bestFit="1" customWidth="1"/>
    <col min="10251" max="10251" width="4.453125" style="1" customWidth="1"/>
    <col min="10252" max="10252" width="14.453125" style="1" bestFit="1" customWidth="1"/>
    <col min="10253" max="10253" width="13.453125" style="1" customWidth="1"/>
    <col min="10254" max="10254" width="14.7265625" style="1" bestFit="1" customWidth="1"/>
    <col min="10255" max="10255" width="14.26953125" style="1" bestFit="1" customWidth="1"/>
    <col min="10256" max="10256" width="14.26953125" style="1" customWidth="1"/>
    <col min="10257" max="10257" width="14" style="1" bestFit="1" customWidth="1"/>
    <col min="10258" max="10258" width="11.54296875" style="1" bestFit="1" customWidth="1"/>
    <col min="10259" max="10259" width="13.81640625" style="1" bestFit="1" customWidth="1"/>
    <col min="10260" max="10497" width="10.90625" style="1"/>
    <col min="10498" max="10498" width="20.26953125" style="1" customWidth="1"/>
    <col min="10499" max="10499" width="21.7265625" style="1" customWidth="1"/>
    <col min="10500" max="10500" width="22" style="1" customWidth="1"/>
    <col min="10501" max="10501" width="17.1796875" style="1" customWidth="1"/>
    <col min="10502" max="10502" width="21.453125" style="1" customWidth="1"/>
    <col min="10503" max="10503" width="19.54296875" style="1" customWidth="1"/>
    <col min="10504" max="10504" width="14.1796875" style="1" bestFit="1" customWidth="1"/>
    <col min="10505" max="10505" width="8.453125" style="1" customWidth="1"/>
    <col min="10506" max="10506" width="14.453125" style="1" bestFit="1" customWidth="1"/>
    <col min="10507" max="10507" width="4.453125" style="1" customWidth="1"/>
    <col min="10508" max="10508" width="14.453125" style="1" bestFit="1" customWidth="1"/>
    <col min="10509" max="10509" width="13.453125" style="1" customWidth="1"/>
    <col min="10510" max="10510" width="14.7265625" style="1" bestFit="1" customWidth="1"/>
    <col min="10511" max="10511" width="14.26953125" style="1" bestFit="1" customWidth="1"/>
    <col min="10512" max="10512" width="14.26953125" style="1" customWidth="1"/>
    <col min="10513" max="10513" width="14" style="1" bestFit="1" customWidth="1"/>
    <col min="10514" max="10514" width="11.54296875" style="1" bestFit="1" customWidth="1"/>
    <col min="10515" max="10515" width="13.81640625" style="1" bestFit="1" customWidth="1"/>
    <col min="10516" max="10753" width="10.90625" style="1"/>
    <col min="10754" max="10754" width="20.26953125" style="1" customWidth="1"/>
    <col min="10755" max="10755" width="21.7265625" style="1" customWidth="1"/>
    <col min="10756" max="10756" width="22" style="1" customWidth="1"/>
    <col min="10757" max="10757" width="17.1796875" style="1" customWidth="1"/>
    <col min="10758" max="10758" width="21.453125" style="1" customWidth="1"/>
    <col min="10759" max="10759" width="19.54296875" style="1" customWidth="1"/>
    <col min="10760" max="10760" width="14.1796875" style="1" bestFit="1" customWidth="1"/>
    <col min="10761" max="10761" width="8.453125" style="1" customWidth="1"/>
    <col min="10762" max="10762" width="14.453125" style="1" bestFit="1" customWidth="1"/>
    <col min="10763" max="10763" width="4.453125" style="1" customWidth="1"/>
    <col min="10764" max="10764" width="14.453125" style="1" bestFit="1" customWidth="1"/>
    <col min="10765" max="10765" width="13.453125" style="1" customWidth="1"/>
    <col min="10766" max="10766" width="14.7265625" style="1" bestFit="1" customWidth="1"/>
    <col min="10767" max="10767" width="14.26953125" style="1" bestFit="1" customWidth="1"/>
    <col min="10768" max="10768" width="14.26953125" style="1" customWidth="1"/>
    <col min="10769" max="10769" width="14" style="1" bestFit="1" customWidth="1"/>
    <col min="10770" max="10770" width="11.54296875" style="1" bestFit="1" customWidth="1"/>
    <col min="10771" max="10771" width="13.81640625" style="1" bestFit="1" customWidth="1"/>
    <col min="10772" max="11009" width="10.90625" style="1"/>
    <col min="11010" max="11010" width="20.26953125" style="1" customWidth="1"/>
    <col min="11011" max="11011" width="21.7265625" style="1" customWidth="1"/>
    <col min="11012" max="11012" width="22" style="1" customWidth="1"/>
    <col min="11013" max="11013" width="17.1796875" style="1" customWidth="1"/>
    <col min="11014" max="11014" width="21.453125" style="1" customWidth="1"/>
    <col min="11015" max="11015" width="19.54296875" style="1" customWidth="1"/>
    <col min="11016" max="11016" width="14.1796875" style="1" bestFit="1" customWidth="1"/>
    <col min="11017" max="11017" width="8.453125" style="1" customWidth="1"/>
    <col min="11018" max="11018" width="14.453125" style="1" bestFit="1" customWidth="1"/>
    <col min="11019" max="11019" width="4.453125" style="1" customWidth="1"/>
    <col min="11020" max="11020" width="14.453125" style="1" bestFit="1" customWidth="1"/>
    <col min="11021" max="11021" width="13.453125" style="1" customWidth="1"/>
    <col min="11022" max="11022" width="14.7265625" style="1" bestFit="1" customWidth="1"/>
    <col min="11023" max="11023" width="14.26953125" style="1" bestFit="1" customWidth="1"/>
    <col min="11024" max="11024" width="14.26953125" style="1" customWidth="1"/>
    <col min="11025" max="11025" width="14" style="1" bestFit="1" customWidth="1"/>
    <col min="11026" max="11026" width="11.54296875" style="1" bestFit="1" customWidth="1"/>
    <col min="11027" max="11027" width="13.81640625" style="1" bestFit="1" customWidth="1"/>
    <col min="11028" max="11265" width="10.90625" style="1"/>
    <col min="11266" max="11266" width="20.26953125" style="1" customWidth="1"/>
    <col min="11267" max="11267" width="21.7265625" style="1" customWidth="1"/>
    <col min="11268" max="11268" width="22" style="1" customWidth="1"/>
    <col min="11269" max="11269" width="17.1796875" style="1" customWidth="1"/>
    <col min="11270" max="11270" width="21.453125" style="1" customWidth="1"/>
    <col min="11271" max="11271" width="19.54296875" style="1" customWidth="1"/>
    <col min="11272" max="11272" width="14.1796875" style="1" bestFit="1" customWidth="1"/>
    <col min="11273" max="11273" width="8.453125" style="1" customWidth="1"/>
    <col min="11274" max="11274" width="14.453125" style="1" bestFit="1" customWidth="1"/>
    <col min="11275" max="11275" width="4.453125" style="1" customWidth="1"/>
    <col min="11276" max="11276" width="14.453125" style="1" bestFit="1" customWidth="1"/>
    <col min="11277" max="11277" width="13.453125" style="1" customWidth="1"/>
    <col min="11278" max="11278" width="14.7265625" style="1" bestFit="1" customWidth="1"/>
    <col min="11279" max="11279" width="14.26953125" style="1" bestFit="1" customWidth="1"/>
    <col min="11280" max="11280" width="14.26953125" style="1" customWidth="1"/>
    <col min="11281" max="11281" width="14" style="1" bestFit="1" customWidth="1"/>
    <col min="11282" max="11282" width="11.54296875" style="1" bestFit="1" customWidth="1"/>
    <col min="11283" max="11283" width="13.81640625" style="1" bestFit="1" customWidth="1"/>
    <col min="11284" max="11521" width="10.90625" style="1"/>
    <col min="11522" max="11522" width="20.26953125" style="1" customWidth="1"/>
    <col min="11523" max="11523" width="21.7265625" style="1" customWidth="1"/>
    <col min="11524" max="11524" width="22" style="1" customWidth="1"/>
    <col min="11525" max="11525" width="17.1796875" style="1" customWidth="1"/>
    <col min="11526" max="11526" width="21.453125" style="1" customWidth="1"/>
    <col min="11527" max="11527" width="19.54296875" style="1" customWidth="1"/>
    <col min="11528" max="11528" width="14.1796875" style="1" bestFit="1" customWidth="1"/>
    <col min="11529" max="11529" width="8.453125" style="1" customWidth="1"/>
    <col min="11530" max="11530" width="14.453125" style="1" bestFit="1" customWidth="1"/>
    <col min="11531" max="11531" width="4.453125" style="1" customWidth="1"/>
    <col min="11532" max="11532" width="14.453125" style="1" bestFit="1" customWidth="1"/>
    <col min="11533" max="11533" width="13.453125" style="1" customWidth="1"/>
    <col min="11534" max="11534" width="14.7265625" style="1" bestFit="1" customWidth="1"/>
    <col min="11535" max="11535" width="14.26953125" style="1" bestFit="1" customWidth="1"/>
    <col min="11536" max="11536" width="14.26953125" style="1" customWidth="1"/>
    <col min="11537" max="11537" width="14" style="1" bestFit="1" customWidth="1"/>
    <col min="11538" max="11538" width="11.54296875" style="1" bestFit="1" customWidth="1"/>
    <col min="11539" max="11539" width="13.81640625" style="1" bestFit="1" customWidth="1"/>
    <col min="11540" max="11777" width="10.90625" style="1"/>
    <col min="11778" max="11778" width="20.26953125" style="1" customWidth="1"/>
    <col min="11779" max="11779" width="21.7265625" style="1" customWidth="1"/>
    <col min="11780" max="11780" width="22" style="1" customWidth="1"/>
    <col min="11781" max="11781" width="17.1796875" style="1" customWidth="1"/>
    <col min="11782" max="11782" width="21.453125" style="1" customWidth="1"/>
    <col min="11783" max="11783" width="19.54296875" style="1" customWidth="1"/>
    <col min="11784" max="11784" width="14.1796875" style="1" bestFit="1" customWidth="1"/>
    <col min="11785" max="11785" width="8.453125" style="1" customWidth="1"/>
    <col min="11786" max="11786" width="14.453125" style="1" bestFit="1" customWidth="1"/>
    <col min="11787" max="11787" width="4.453125" style="1" customWidth="1"/>
    <col min="11788" max="11788" width="14.453125" style="1" bestFit="1" customWidth="1"/>
    <col min="11789" max="11789" width="13.453125" style="1" customWidth="1"/>
    <col min="11790" max="11790" width="14.7265625" style="1" bestFit="1" customWidth="1"/>
    <col min="11791" max="11791" width="14.26953125" style="1" bestFit="1" customWidth="1"/>
    <col min="11792" max="11792" width="14.26953125" style="1" customWidth="1"/>
    <col min="11793" max="11793" width="14" style="1" bestFit="1" customWidth="1"/>
    <col min="11794" max="11794" width="11.54296875" style="1" bestFit="1" customWidth="1"/>
    <col min="11795" max="11795" width="13.81640625" style="1" bestFit="1" customWidth="1"/>
    <col min="11796" max="12033" width="10.90625" style="1"/>
    <col min="12034" max="12034" width="20.26953125" style="1" customWidth="1"/>
    <col min="12035" max="12035" width="21.7265625" style="1" customWidth="1"/>
    <col min="12036" max="12036" width="22" style="1" customWidth="1"/>
    <col min="12037" max="12037" width="17.1796875" style="1" customWidth="1"/>
    <col min="12038" max="12038" width="21.453125" style="1" customWidth="1"/>
    <col min="12039" max="12039" width="19.54296875" style="1" customWidth="1"/>
    <col min="12040" max="12040" width="14.1796875" style="1" bestFit="1" customWidth="1"/>
    <col min="12041" max="12041" width="8.453125" style="1" customWidth="1"/>
    <col min="12042" max="12042" width="14.453125" style="1" bestFit="1" customWidth="1"/>
    <col min="12043" max="12043" width="4.453125" style="1" customWidth="1"/>
    <col min="12044" max="12044" width="14.453125" style="1" bestFit="1" customWidth="1"/>
    <col min="12045" max="12045" width="13.453125" style="1" customWidth="1"/>
    <col min="12046" max="12046" width="14.7265625" style="1" bestFit="1" customWidth="1"/>
    <col min="12047" max="12047" width="14.26953125" style="1" bestFit="1" customWidth="1"/>
    <col min="12048" max="12048" width="14.26953125" style="1" customWidth="1"/>
    <col min="12049" max="12049" width="14" style="1" bestFit="1" customWidth="1"/>
    <col min="12050" max="12050" width="11.54296875" style="1" bestFit="1" customWidth="1"/>
    <col min="12051" max="12051" width="13.81640625" style="1" bestFit="1" customWidth="1"/>
    <col min="12052" max="12289" width="10.90625" style="1"/>
    <col min="12290" max="12290" width="20.26953125" style="1" customWidth="1"/>
    <col min="12291" max="12291" width="21.7265625" style="1" customWidth="1"/>
    <col min="12292" max="12292" width="22" style="1" customWidth="1"/>
    <col min="12293" max="12293" width="17.1796875" style="1" customWidth="1"/>
    <col min="12294" max="12294" width="21.453125" style="1" customWidth="1"/>
    <col min="12295" max="12295" width="19.54296875" style="1" customWidth="1"/>
    <col min="12296" max="12296" width="14.1796875" style="1" bestFit="1" customWidth="1"/>
    <col min="12297" max="12297" width="8.453125" style="1" customWidth="1"/>
    <col min="12298" max="12298" width="14.453125" style="1" bestFit="1" customWidth="1"/>
    <col min="12299" max="12299" width="4.453125" style="1" customWidth="1"/>
    <col min="12300" max="12300" width="14.453125" style="1" bestFit="1" customWidth="1"/>
    <col min="12301" max="12301" width="13.453125" style="1" customWidth="1"/>
    <col min="12302" max="12302" width="14.7265625" style="1" bestFit="1" customWidth="1"/>
    <col min="12303" max="12303" width="14.26953125" style="1" bestFit="1" customWidth="1"/>
    <col min="12304" max="12304" width="14.26953125" style="1" customWidth="1"/>
    <col min="12305" max="12305" width="14" style="1" bestFit="1" customWidth="1"/>
    <col min="12306" max="12306" width="11.54296875" style="1" bestFit="1" customWidth="1"/>
    <col min="12307" max="12307" width="13.81640625" style="1" bestFit="1" customWidth="1"/>
    <col min="12308" max="12545" width="10.90625" style="1"/>
    <col min="12546" max="12546" width="20.26953125" style="1" customWidth="1"/>
    <col min="12547" max="12547" width="21.7265625" style="1" customWidth="1"/>
    <col min="12548" max="12548" width="22" style="1" customWidth="1"/>
    <col min="12549" max="12549" width="17.1796875" style="1" customWidth="1"/>
    <col min="12550" max="12550" width="21.453125" style="1" customWidth="1"/>
    <col min="12551" max="12551" width="19.54296875" style="1" customWidth="1"/>
    <col min="12552" max="12552" width="14.1796875" style="1" bestFit="1" customWidth="1"/>
    <col min="12553" max="12553" width="8.453125" style="1" customWidth="1"/>
    <col min="12554" max="12554" width="14.453125" style="1" bestFit="1" customWidth="1"/>
    <col min="12555" max="12555" width="4.453125" style="1" customWidth="1"/>
    <col min="12556" max="12556" width="14.453125" style="1" bestFit="1" customWidth="1"/>
    <col min="12557" max="12557" width="13.453125" style="1" customWidth="1"/>
    <col min="12558" max="12558" width="14.7265625" style="1" bestFit="1" customWidth="1"/>
    <col min="12559" max="12559" width="14.26953125" style="1" bestFit="1" customWidth="1"/>
    <col min="12560" max="12560" width="14.26953125" style="1" customWidth="1"/>
    <col min="12561" max="12561" width="14" style="1" bestFit="1" customWidth="1"/>
    <col min="12562" max="12562" width="11.54296875" style="1" bestFit="1" customWidth="1"/>
    <col min="12563" max="12563" width="13.81640625" style="1" bestFit="1" customWidth="1"/>
    <col min="12564" max="12801" width="10.90625" style="1"/>
    <col min="12802" max="12802" width="20.26953125" style="1" customWidth="1"/>
    <col min="12803" max="12803" width="21.7265625" style="1" customWidth="1"/>
    <col min="12804" max="12804" width="22" style="1" customWidth="1"/>
    <col min="12805" max="12805" width="17.1796875" style="1" customWidth="1"/>
    <col min="12806" max="12806" width="21.453125" style="1" customWidth="1"/>
    <col min="12807" max="12807" width="19.54296875" style="1" customWidth="1"/>
    <col min="12808" max="12808" width="14.1796875" style="1" bestFit="1" customWidth="1"/>
    <col min="12809" max="12809" width="8.453125" style="1" customWidth="1"/>
    <col min="12810" max="12810" width="14.453125" style="1" bestFit="1" customWidth="1"/>
    <col min="12811" max="12811" width="4.453125" style="1" customWidth="1"/>
    <col min="12812" max="12812" width="14.453125" style="1" bestFit="1" customWidth="1"/>
    <col min="12813" max="12813" width="13.453125" style="1" customWidth="1"/>
    <col min="12814" max="12814" width="14.7265625" style="1" bestFit="1" customWidth="1"/>
    <col min="12815" max="12815" width="14.26953125" style="1" bestFit="1" customWidth="1"/>
    <col min="12816" max="12816" width="14.26953125" style="1" customWidth="1"/>
    <col min="12817" max="12817" width="14" style="1" bestFit="1" customWidth="1"/>
    <col min="12818" max="12818" width="11.54296875" style="1" bestFit="1" customWidth="1"/>
    <col min="12819" max="12819" width="13.81640625" style="1" bestFit="1" customWidth="1"/>
    <col min="12820" max="13057" width="10.90625" style="1"/>
    <col min="13058" max="13058" width="20.26953125" style="1" customWidth="1"/>
    <col min="13059" max="13059" width="21.7265625" style="1" customWidth="1"/>
    <col min="13060" max="13060" width="22" style="1" customWidth="1"/>
    <col min="13061" max="13061" width="17.1796875" style="1" customWidth="1"/>
    <col min="13062" max="13062" width="21.453125" style="1" customWidth="1"/>
    <col min="13063" max="13063" width="19.54296875" style="1" customWidth="1"/>
    <col min="13064" max="13064" width="14.1796875" style="1" bestFit="1" customWidth="1"/>
    <col min="13065" max="13065" width="8.453125" style="1" customWidth="1"/>
    <col min="13066" max="13066" width="14.453125" style="1" bestFit="1" customWidth="1"/>
    <col min="13067" max="13067" width="4.453125" style="1" customWidth="1"/>
    <col min="13068" max="13068" width="14.453125" style="1" bestFit="1" customWidth="1"/>
    <col min="13069" max="13069" width="13.453125" style="1" customWidth="1"/>
    <col min="13070" max="13070" width="14.7265625" style="1" bestFit="1" customWidth="1"/>
    <col min="13071" max="13071" width="14.26953125" style="1" bestFit="1" customWidth="1"/>
    <col min="13072" max="13072" width="14.26953125" style="1" customWidth="1"/>
    <col min="13073" max="13073" width="14" style="1" bestFit="1" customWidth="1"/>
    <col min="13074" max="13074" width="11.54296875" style="1" bestFit="1" customWidth="1"/>
    <col min="13075" max="13075" width="13.81640625" style="1" bestFit="1" customWidth="1"/>
    <col min="13076" max="13313" width="10.90625" style="1"/>
    <col min="13314" max="13314" width="20.26953125" style="1" customWidth="1"/>
    <col min="13315" max="13315" width="21.7265625" style="1" customWidth="1"/>
    <col min="13316" max="13316" width="22" style="1" customWidth="1"/>
    <col min="13317" max="13317" width="17.1796875" style="1" customWidth="1"/>
    <col min="13318" max="13318" width="21.453125" style="1" customWidth="1"/>
    <col min="13319" max="13319" width="19.54296875" style="1" customWidth="1"/>
    <col min="13320" max="13320" width="14.1796875" style="1" bestFit="1" customWidth="1"/>
    <col min="13321" max="13321" width="8.453125" style="1" customWidth="1"/>
    <col min="13322" max="13322" width="14.453125" style="1" bestFit="1" customWidth="1"/>
    <col min="13323" max="13323" width="4.453125" style="1" customWidth="1"/>
    <col min="13324" max="13324" width="14.453125" style="1" bestFit="1" customWidth="1"/>
    <col min="13325" max="13325" width="13.453125" style="1" customWidth="1"/>
    <col min="13326" max="13326" width="14.7265625" style="1" bestFit="1" customWidth="1"/>
    <col min="13327" max="13327" width="14.26953125" style="1" bestFit="1" customWidth="1"/>
    <col min="13328" max="13328" width="14.26953125" style="1" customWidth="1"/>
    <col min="13329" max="13329" width="14" style="1" bestFit="1" customWidth="1"/>
    <col min="13330" max="13330" width="11.54296875" style="1" bestFit="1" customWidth="1"/>
    <col min="13331" max="13331" width="13.81640625" style="1" bestFit="1" customWidth="1"/>
    <col min="13332" max="13569" width="10.90625" style="1"/>
    <col min="13570" max="13570" width="20.26953125" style="1" customWidth="1"/>
    <col min="13571" max="13571" width="21.7265625" style="1" customWidth="1"/>
    <col min="13572" max="13572" width="22" style="1" customWidth="1"/>
    <col min="13573" max="13573" width="17.1796875" style="1" customWidth="1"/>
    <col min="13574" max="13574" width="21.453125" style="1" customWidth="1"/>
    <col min="13575" max="13575" width="19.54296875" style="1" customWidth="1"/>
    <col min="13576" max="13576" width="14.1796875" style="1" bestFit="1" customWidth="1"/>
    <col min="13577" max="13577" width="8.453125" style="1" customWidth="1"/>
    <col min="13578" max="13578" width="14.453125" style="1" bestFit="1" customWidth="1"/>
    <col min="13579" max="13579" width="4.453125" style="1" customWidth="1"/>
    <col min="13580" max="13580" width="14.453125" style="1" bestFit="1" customWidth="1"/>
    <col min="13581" max="13581" width="13.453125" style="1" customWidth="1"/>
    <col min="13582" max="13582" width="14.7265625" style="1" bestFit="1" customWidth="1"/>
    <col min="13583" max="13583" width="14.26953125" style="1" bestFit="1" customWidth="1"/>
    <col min="13584" max="13584" width="14.26953125" style="1" customWidth="1"/>
    <col min="13585" max="13585" width="14" style="1" bestFit="1" customWidth="1"/>
    <col min="13586" max="13586" width="11.54296875" style="1" bestFit="1" customWidth="1"/>
    <col min="13587" max="13587" width="13.81640625" style="1" bestFit="1" customWidth="1"/>
    <col min="13588" max="13825" width="10.90625" style="1"/>
    <col min="13826" max="13826" width="20.26953125" style="1" customWidth="1"/>
    <col min="13827" max="13827" width="21.7265625" style="1" customWidth="1"/>
    <col min="13828" max="13828" width="22" style="1" customWidth="1"/>
    <col min="13829" max="13829" width="17.1796875" style="1" customWidth="1"/>
    <col min="13830" max="13830" width="21.453125" style="1" customWidth="1"/>
    <col min="13831" max="13831" width="19.54296875" style="1" customWidth="1"/>
    <col min="13832" max="13832" width="14.1796875" style="1" bestFit="1" customWidth="1"/>
    <col min="13833" max="13833" width="8.453125" style="1" customWidth="1"/>
    <col min="13834" max="13834" width="14.453125" style="1" bestFit="1" customWidth="1"/>
    <col min="13835" max="13835" width="4.453125" style="1" customWidth="1"/>
    <col min="13836" max="13836" width="14.453125" style="1" bestFit="1" customWidth="1"/>
    <col min="13837" max="13837" width="13.453125" style="1" customWidth="1"/>
    <col min="13838" max="13838" width="14.7265625" style="1" bestFit="1" customWidth="1"/>
    <col min="13839" max="13839" width="14.26953125" style="1" bestFit="1" customWidth="1"/>
    <col min="13840" max="13840" width="14.26953125" style="1" customWidth="1"/>
    <col min="13841" max="13841" width="14" style="1" bestFit="1" customWidth="1"/>
    <col min="13842" max="13842" width="11.54296875" style="1" bestFit="1" customWidth="1"/>
    <col min="13843" max="13843" width="13.81640625" style="1" bestFit="1" customWidth="1"/>
    <col min="13844" max="14081" width="10.90625" style="1"/>
    <col min="14082" max="14082" width="20.26953125" style="1" customWidth="1"/>
    <col min="14083" max="14083" width="21.7265625" style="1" customWidth="1"/>
    <col min="14084" max="14084" width="22" style="1" customWidth="1"/>
    <col min="14085" max="14085" width="17.1796875" style="1" customWidth="1"/>
    <col min="14086" max="14086" width="21.453125" style="1" customWidth="1"/>
    <col min="14087" max="14087" width="19.54296875" style="1" customWidth="1"/>
    <col min="14088" max="14088" width="14.1796875" style="1" bestFit="1" customWidth="1"/>
    <col min="14089" max="14089" width="8.453125" style="1" customWidth="1"/>
    <col min="14090" max="14090" width="14.453125" style="1" bestFit="1" customWidth="1"/>
    <col min="14091" max="14091" width="4.453125" style="1" customWidth="1"/>
    <col min="14092" max="14092" width="14.453125" style="1" bestFit="1" customWidth="1"/>
    <col min="14093" max="14093" width="13.453125" style="1" customWidth="1"/>
    <col min="14094" max="14094" width="14.7265625" style="1" bestFit="1" customWidth="1"/>
    <col min="14095" max="14095" width="14.26953125" style="1" bestFit="1" customWidth="1"/>
    <col min="14096" max="14096" width="14.26953125" style="1" customWidth="1"/>
    <col min="14097" max="14097" width="14" style="1" bestFit="1" customWidth="1"/>
    <col min="14098" max="14098" width="11.54296875" style="1" bestFit="1" customWidth="1"/>
    <col min="14099" max="14099" width="13.81640625" style="1" bestFit="1" customWidth="1"/>
    <col min="14100" max="14337" width="10.90625" style="1"/>
    <col min="14338" max="14338" width="20.26953125" style="1" customWidth="1"/>
    <col min="14339" max="14339" width="21.7265625" style="1" customWidth="1"/>
    <col min="14340" max="14340" width="22" style="1" customWidth="1"/>
    <col min="14341" max="14341" width="17.1796875" style="1" customWidth="1"/>
    <col min="14342" max="14342" width="21.453125" style="1" customWidth="1"/>
    <col min="14343" max="14343" width="19.54296875" style="1" customWidth="1"/>
    <col min="14344" max="14344" width="14.1796875" style="1" bestFit="1" customWidth="1"/>
    <col min="14345" max="14345" width="8.453125" style="1" customWidth="1"/>
    <col min="14346" max="14346" width="14.453125" style="1" bestFit="1" customWidth="1"/>
    <col min="14347" max="14347" width="4.453125" style="1" customWidth="1"/>
    <col min="14348" max="14348" width="14.453125" style="1" bestFit="1" customWidth="1"/>
    <col min="14349" max="14349" width="13.453125" style="1" customWidth="1"/>
    <col min="14350" max="14350" width="14.7265625" style="1" bestFit="1" customWidth="1"/>
    <col min="14351" max="14351" width="14.26953125" style="1" bestFit="1" customWidth="1"/>
    <col min="14352" max="14352" width="14.26953125" style="1" customWidth="1"/>
    <col min="14353" max="14353" width="14" style="1" bestFit="1" customWidth="1"/>
    <col min="14354" max="14354" width="11.54296875" style="1" bestFit="1" customWidth="1"/>
    <col min="14355" max="14355" width="13.81640625" style="1" bestFit="1" customWidth="1"/>
    <col min="14356" max="14593" width="10.90625" style="1"/>
    <col min="14594" max="14594" width="20.26953125" style="1" customWidth="1"/>
    <col min="14595" max="14595" width="21.7265625" style="1" customWidth="1"/>
    <col min="14596" max="14596" width="22" style="1" customWidth="1"/>
    <col min="14597" max="14597" width="17.1796875" style="1" customWidth="1"/>
    <col min="14598" max="14598" width="21.453125" style="1" customWidth="1"/>
    <col min="14599" max="14599" width="19.54296875" style="1" customWidth="1"/>
    <col min="14600" max="14600" width="14.1796875" style="1" bestFit="1" customWidth="1"/>
    <col min="14601" max="14601" width="8.453125" style="1" customWidth="1"/>
    <col min="14602" max="14602" width="14.453125" style="1" bestFit="1" customWidth="1"/>
    <col min="14603" max="14603" width="4.453125" style="1" customWidth="1"/>
    <col min="14604" max="14604" width="14.453125" style="1" bestFit="1" customWidth="1"/>
    <col min="14605" max="14605" width="13.453125" style="1" customWidth="1"/>
    <col min="14606" max="14606" width="14.7265625" style="1" bestFit="1" customWidth="1"/>
    <col min="14607" max="14607" width="14.26953125" style="1" bestFit="1" customWidth="1"/>
    <col min="14608" max="14608" width="14.26953125" style="1" customWidth="1"/>
    <col min="14609" max="14609" width="14" style="1" bestFit="1" customWidth="1"/>
    <col min="14610" max="14610" width="11.54296875" style="1" bestFit="1" customWidth="1"/>
    <col min="14611" max="14611" width="13.81640625" style="1" bestFit="1" customWidth="1"/>
    <col min="14612" max="14849" width="10.90625" style="1"/>
    <col min="14850" max="14850" width="20.26953125" style="1" customWidth="1"/>
    <col min="14851" max="14851" width="21.7265625" style="1" customWidth="1"/>
    <col min="14852" max="14852" width="22" style="1" customWidth="1"/>
    <col min="14853" max="14853" width="17.1796875" style="1" customWidth="1"/>
    <col min="14854" max="14854" width="21.453125" style="1" customWidth="1"/>
    <col min="14855" max="14855" width="19.54296875" style="1" customWidth="1"/>
    <col min="14856" max="14856" width="14.1796875" style="1" bestFit="1" customWidth="1"/>
    <col min="14857" max="14857" width="8.453125" style="1" customWidth="1"/>
    <col min="14858" max="14858" width="14.453125" style="1" bestFit="1" customWidth="1"/>
    <col min="14859" max="14859" width="4.453125" style="1" customWidth="1"/>
    <col min="14860" max="14860" width="14.453125" style="1" bestFit="1" customWidth="1"/>
    <col min="14861" max="14861" width="13.453125" style="1" customWidth="1"/>
    <col min="14862" max="14862" width="14.7265625" style="1" bestFit="1" customWidth="1"/>
    <col min="14863" max="14863" width="14.26953125" style="1" bestFit="1" customWidth="1"/>
    <col min="14864" max="14864" width="14.26953125" style="1" customWidth="1"/>
    <col min="14865" max="14865" width="14" style="1" bestFit="1" customWidth="1"/>
    <col min="14866" max="14866" width="11.54296875" style="1" bestFit="1" customWidth="1"/>
    <col min="14867" max="14867" width="13.81640625" style="1" bestFit="1" customWidth="1"/>
    <col min="14868" max="15105" width="10.90625" style="1"/>
    <col min="15106" max="15106" width="20.26953125" style="1" customWidth="1"/>
    <col min="15107" max="15107" width="21.7265625" style="1" customWidth="1"/>
    <col min="15108" max="15108" width="22" style="1" customWidth="1"/>
    <col min="15109" max="15109" width="17.1796875" style="1" customWidth="1"/>
    <col min="15110" max="15110" width="21.453125" style="1" customWidth="1"/>
    <col min="15111" max="15111" width="19.54296875" style="1" customWidth="1"/>
    <col min="15112" max="15112" width="14.1796875" style="1" bestFit="1" customWidth="1"/>
    <col min="15113" max="15113" width="8.453125" style="1" customWidth="1"/>
    <col min="15114" max="15114" width="14.453125" style="1" bestFit="1" customWidth="1"/>
    <col min="15115" max="15115" width="4.453125" style="1" customWidth="1"/>
    <col min="15116" max="15116" width="14.453125" style="1" bestFit="1" customWidth="1"/>
    <col min="15117" max="15117" width="13.453125" style="1" customWidth="1"/>
    <col min="15118" max="15118" width="14.7265625" style="1" bestFit="1" customWidth="1"/>
    <col min="15119" max="15119" width="14.26953125" style="1" bestFit="1" customWidth="1"/>
    <col min="15120" max="15120" width="14.26953125" style="1" customWidth="1"/>
    <col min="15121" max="15121" width="14" style="1" bestFit="1" customWidth="1"/>
    <col min="15122" max="15122" width="11.54296875" style="1" bestFit="1" customWidth="1"/>
    <col min="15123" max="15123" width="13.81640625" style="1" bestFit="1" customWidth="1"/>
    <col min="15124" max="15361" width="10.90625" style="1"/>
    <col min="15362" max="15362" width="20.26953125" style="1" customWidth="1"/>
    <col min="15363" max="15363" width="21.7265625" style="1" customWidth="1"/>
    <col min="15364" max="15364" width="22" style="1" customWidth="1"/>
    <col min="15365" max="15365" width="17.1796875" style="1" customWidth="1"/>
    <col min="15366" max="15366" width="21.453125" style="1" customWidth="1"/>
    <col min="15367" max="15367" width="19.54296875" style="1" customWidth="1"/>
    <col min="15368" max="15368" width="14.1796875" style="1" bestFit="1" customWidth="1"/>
    <col min="15369" max="15369" width="8.453125" style="1" customWidth="1"/>
    <col min="15370" max="15370" width="14.453125" style="1" bestFit="1" customWidth="1"/>
    <col min="15371" max="15371" width="4.453125" style="1" customWidth="1"/>
    <col min="15372" max="15372" width="14.453125" style="1" bestFit="1" customWidth="1"/>
    <col min="15373" max="15373" width="13.453125" style="1" customWidth="1"/>
    <col min="15374" max="15374" width="14.7265625" style="1" bestFit="1" customWidth="1"/>
    <col min="15375" max="15375" width="14.26953125" style="1" bestFit="1" customWidth="1"/>
    <col min="15376" max="15376" width="14.26953125" style="1" customWidth="1"/>
    <col min="15377" max="15377" width="14" style="1" bestFit="1" customWidth="1"/>
    <col min="15378" max="15378" width="11.54296875" style="1" bestFit="1" customWidth="1"/>
    <col min="15379" max="15379" width="13.81640625" style="1" bestFit="1" customWidth="1"/>
    <col min="15380" max="15617" width="10.90625" style="1"/>
    <col min="15618" max="15618" width="20.26953125" style="1" customWidth="1"/>
    <col min="15619" max="15619" width="21.7265625" style="1" customWidth="1"/>
    <col min="15620" max="15620" width="22" style="1" customWidth="1"/>
    <col min="15621" max="15621" width="17.1796875" style="1" customWidth="1"/>
    <col min="15622" max="15622" width="21.453125" style="1" customWidth="1"/>
    <col min="15623" max="15623" width="19.54296875" style="1" customWidth="1"/>
    <col min="15624" max="15624" width="14.1796875" style="1" bestFit="1" customWidth="1"/>
    <col min="15625" max="15625" width="8.453125" style="1" customWidth="1"/>
    <col min="15626" max="15626" width="14.453125" style="1" bestFit="1" customWidth="1"/>
    <col min="15627" max="15627" width="4.453125" style="1" customWidth="1"/>
    <col min="15628" max="15628" width="14.453125" style="1" bestFit="1" customWidth="1"/>
    <col min="15629" max="15629" width="13.453125" style="1" customWidth="1"/>
    <col min="15630" max="15630" width="14.7265625" style="1" bestFit="1" customWidth="1"/>
    <col min="15631" max="15631" width="14.26953125" style="1" bestFit="1" customWidth="1"/>
    <col min="15632" max="15632" width="14.26953125" style="1" customWidth="1"/>
    <col min="15633" max="15633" width="14" style="1" bestFit="1" customWidth="1"/>
    <col min="15634" max="15634" width="11.54296875" style="1" bestFit="1" customWidth="1"/>
    <col min="15635" max="15635" width="13.81640625" style="1" bestFit="1" customWidth="1"/>
    <col min="15636" max="15873" width="10.90625" style="1"/>
    <col min="15874" max="15874" width="20.26953125" style="1" customWidth="1"/>
    <col min="15875" max="15875" width="21.7265625" style="1" customWidth="1"/>
    <col min="15876" max="15876" width="22" style="1" customWidth="1"/>
    <col min="15877" max="15877" width="17.1796875" style="1" customWidth="1"/>
    <col min="15878" max="15878" width="21.453125" style="1" customWidth="1"/>
    <col min="15879" max="15879" width="19.54296875" style="1" customWidth="1"/>
    <col min="15880" max="15880" width="14.1796875" style="1" bestFit="1" customWidth="1"/>
    <col min="15881" max="15881" width="8.453125" style="1" customWidth="1"/>
    <col min="15882" max="15882" width="14.453125" style="1" bestFit="1" customWidth="1"/>
    <col min="15883" max="15883" width="4.453125" style="1" customWidth="1"/>
    <col min="15884" max="15884" width="14.453125" style="1" bestFit="1" customWidth="1"/>
    <col min="15885" max="15885" width="13.453125" style="1" customWidth="1"/>
    <col min="15886" max="15886" width="14.7265625" style="1" bestFit="1" customWidth="1"/>
    <col min="15887" max="15887" width="14.26953125" style="1" bestFit="1" customWidth="1"/>
    <col min="15888" max="15888" width="14.26953125" style="1" customWidth="1"/>
    <col min="15889" max="15889" width="14" style="1" bestFit="1" customWidth="1"/>
    <col min="15890" max="15890" width="11.54296875" style="1" bestFit="1" customWidth="1"/>
    <col min="15891" max="15891" width="13.81640625" style="1" bestFit="1" customWidth="1"/>
    <col min="15892" max="16129" width="10.90625" style="1"/>
    <col min="16130" max="16130" width="20.26953125" style="1" customWidth="1"/>
    <col min="16131" max="16131" width="21.7265625" style="1" customWidth="1"/>
    <col min="16132" max="16132" width="22" style="1" customWidth="1"/>
    <col min="16133" max="16133" width="17.1796875" style="1" customWidth="1"/>
    <col min="16134" max="16134" width="21.453125" style="1" customWidth="1"/>
    <col min="16135" max="16135" width="19.54296875" style="1" customWidth="1"/>
    <col min="16136" max="16136" width="14.1796875" style="1" bestFit="1" customWidth="1"/>
    <col min="16137" max="16137" width="8.453125" style="1" customWidth="1"/>
    <col min="16138" max="16138" width="14.453125" style="1" bestFit="1" customWidth="1"/>
    <col min="16139" max="16139" width="4.453125" style="1" customWidth="1"/>
    <col min="16140" max="16140" width="14.453125" style="1" bestFit="1" customWidth="1"/>
    <col min="16141" max="16141" width="13.453125" style="1" customWidth="1"/>
    <col min="16142" max="16142" width="14.7265625" style="1" bestFit="1" customWidth="1"/>
    <col min="16143" max="16143" width="14.26953125" style="1" bestFit="1" customWidth="1"/>
    <col min="16144" max="16144" width="14.26953125" style="1" customWidth="1"/>
    <col min="16145" max="16145" width="14" style="1" bestFit="1" customWidth="1"/>
    <col min="16146" max="16146" width="11.54296875" style="1" bestFit="1" customWidth="1"/>
    <col min="16147" max="16147" width="13.81640625" style="1" bestFit="1" customWidth="1"/>
    <col min="16148" max="16384" width="10.90625" style="1"/>
  </cols>
  <sheetData>
    <row r="1" spans="2:30" s="7" customFormat="1" ht="6" customHeight="1" thickBot="1" x14ac:dyDescent="0.35">
      <c r="B1" s="53"/>
      <c r="C1" s="54"/>
      <c r="D1" s="53"/>
      <c r="E1" s="55"/>
      <c r="F1" s="1"/>
      <c r="G1" s="1"/>
      <c r="H1" s="56"/>
      <c r="I1" s="56"/>
      <c r="J1" s="56"/>
      <c r="K1" s="56"/>
      <c r="L1" s="57"/>
      <c r="M1" s="58"/>
      <c r="N1" s="58"/>
      <c r="O1" s="4"/>
      <c r="P1" s="4"/>
      <c r="Q1" s="59"/>
      <c r="X1" s="60"/>
      <c r="Y1" s="60"/>
      <c r="Z1" s="60"/>
      <c r="AA1" s="60"/>
      <c r="AB1" s="60"/>
      <c r="AC1" s="60"/>
    </row>
    <row r="2" spans="2:30" ht="24.5" customHeight="1" thickBot="1" x14ac:dyDescent="0.35">
      <c r="B2" s="700" t="s">
        <v>116</v>
      </c>
      <c r="C2" s="701"/>
      <c r="D2" s="701"/>
      <c r="E2" s="701"/>
      <c r="F2" s="702"/>
      <c r="G2" s="560"/>
      <c r="H2" s="251" t="s">
        <v>14</v>
      </c>
      <c r="I2" s="62">
        <v>0.95</v>
      </c>
      <c r="J2" s="560"/>
      <c r="K2" s="63"/>
      <c r="L2" s="57"/>
      <c r="M2" s="561"/>
      <c r="N2" s="561"/>
      <c r="O2" s="562"/>
      <c r="P2" s="562"/>
      <c r="Q2" s="563"/>
      <c r="R2" s="564" t="s">
        <v>164</v>
      </c>
      <c r="S2" s="4"/>
      <c r="T2" s="694" t="s">
        <v>118</v>
      </c>
      <c r="U2" s="695" t="s">
        <v>263</v>
      </c>
      <c r="V2" s="696" t="s">
        <v>264</v>
      </c>
      <c r="W2" s="60"/>
      <c r="X2" s="6"/>
      <c r="Y2" s="6"/>
      <c r="Z2" s="6"/>
      <c r="AA2" s="6"/>
      <c r="AB2" s="6"/>
      <c r="AC2" s="6"/>
      <c r="AD2" s="6"/>
    </row>
    <row r="3" spans="2:30" ht="27.75" customHeight="1" thickBot="1" x14ac:dyDescent="0.35">
      <c r="B3" s="703" t="s">
        <v>215</v>
      </c>
      <c r="C3" s="704"/>
      <c r="D3" s="704"/>
      <c r="E3" s="704"/>
      <c r="F3" s="705"/>
      <c r="G3" s="565"/>
      <c r="K3" s="63"/>
      <c r="L3" s="57"/>
      <c r="M3" s="561"/>
      <c r="N3" s="561"/>
      <c r="O3" s="562"/>
      <c r="P3" s="562"/>
      <c r="Q3" s="563"/>
      <c r="R3" s="276" t="s">
        <v>11</v>
      </c>
      <c r="S3" s="277">
        <f>V3+U3+T3</f>
        <v>73.817783240387428</v>
      </c>
      <c r="T3" s="566">
        <f>J32</f>
        <v>2.8832183739360135</v>
      </c>
      <c r="U3" s="411">
        <f>J31</f>
        <v>0.99999999999999989</v>
      </c>
      <c r="V3" s="412">
        <f>J30</f>
        <v>69.93456486645141</v>
      </c>
      <c r="W3" s="562"/>
      <c r="X3" s="6"/>
      <c r="Y3" s="6"/>
      <c r="Z3" s="6"/>
      <c r="AA3" s="6"/>
      <c r="AB3" s="6"/>
      <c r="AC3" s="6"/>
      <c r="AD3" s="6"/>
    </row>
    <row r="4" spans="2:30" ht="14.25" customHeight="1" x14ac:dyDescent="0.3">
      <c r="B4" s="567"/>
      <c r="C4" s="64"/>
      <c r="D4" s="58"/>
      <c r="E4" s="58"/>
      <c r="F4" s="5"/>
      <c r="G4" s="292" t="s">
        <v>112</v>
      </c>
      <c r="H4" s="568">
        <v>42</v>
      </c>
      <c r="I4" s="291" t="s">
        <v>111</v>
      </c>
      <c r="K4" s="569"/>
      <c r="L4" s="65"/>
      <c r="O4" s="562"/>
      <c r="P4" s="562"/>
      <c r="Q4" s="562"/>
      <c r="S4" s="562"/>
      <c r="T4" s="562"/>
      <c r="U4" s="562"/>
      <c r="V4" s="562"/>
      <c r="W4" s="562"/>
      <c r="X4" s="6"/>
      <c r="Y4" s="66"/>
      <c r="Z4" s="570"/>
      <c r="AA4" s="6"/>
      <c r="AB4" s="6"/>
      <c r="AC4" s="6"/>
      <c r="AD4" s="6"/>
    </row>
    <row r="5" spans="2:30" x14ac:dyDescent="0.3">
      <c r="B5" s="567"/>
      <c r="C5" s="571"/>
      <c r="D5" s="173" t="s">
        <v>15</v>
      </c>
      <c r="E5" s="173" t="s">
        <v>16</v>
      </c>
      <c r="F5" s="122"/>
      <c r="K5" s="67"/>
      <c r="L5" s="68"/>
      <c r="M5" s="68"/>
      <c r="N5" s="68"/>
      <c r="O5" s="562"/>
      <c r="P5" s="562"/>
      <c r="Q5" s="562"/>
      <c r="R5" s="444" t="s">
        <v>165</v>
      </c>
      <c r="S5" s="272" t="str">
        <f>I4</f>
        <v>meses</v>
      </c>
      <c r="V5" s="2" t="s">
        <v>0</v>
      </c>
      <c r="W5" s="66"/>
      <c r="X5" s="6"/>
      <c r="Y5" s="66"/>
      <c r="Z5" s="570"/>
      <c r="AA5" s="6"/>
      <c r="AB5" s="6"/>
      <c r="AC5" s="6"/>
      <c r="AD5" s="6"/>
    </row>
    <row r="6" spans="2:30" x14ac:dyDescent="0.3">
      <c r="B6" s="572"/>
      <c r="C6" s="573"/>
      <c r="D6" s="574" t="s">
        <v>17</v>
      </c>
      <c r="E6" s="574" t="s">
        <v>18</v>
      </c>
      <c r="F6" s="575" t="s">
        <v>19</v>
      </c>
      <c r="G6" s="576"/>
      <c r="H6" s="577" t="s">
        <v>216</v>
      </c>
      <c r="I6" s="577" t="s">
        <v>217</v>
      </c>
      <c r="J6" s="576"/>
      <c r="K6" s="538"/>
      <c r="L6" s="578"/>
      <c r="M6" s="578"/>
      <c r="N6" s="578"/>
      <c r="O6" s="577" t="s">
        <v>111</v>
      </c>
      <c r="P6" s="562"/>
      <c r="Q6" s="562"/>
      <c r="R6" s="10" t="s">
        <v>1</v>
      </c>
      <c r="S6" s="11">
        <f>S14</f>
        <v>0.82023034551827734</v>
      </c>
      <c r="T6" s="12">
        <f>S6/S9</f>
        <v>1.9529293940911366E-2</v>
      </c>
      <c r="V6" s="579">
        <f>S6*365.25/12</f>
        <v>24.965761141712566</v>
      </c>
      <c r="W6" s="66"/>
      <c r="X6" s="6"/>
      <c r="Y6" s="66"/>
      <c r="Z6" s="6"/>
      <c r="AA6" s="6"/>
      <c r="AB6" s="6"/>
      <c r="AC6" s="6"/>
      <c r="AD6" s="6"/>
    </row>
    <row r="7" spans="2:30" ht="12.75" customHeight="1" x14ac:dyDescent="0.3">
      <c r="B7" s="572"/>
      <c r="C7" s="580" t="s">
        <v>218</v>
      </c>
      <c r="D7" s="581">
        <v>78</v>
      </c>
      <c r="E7" s="555">
        <v>1919</v>
      </c>
      <c r="F7" s="556">
        <v>1997</v>
      </c>
      <c r="G7" s="582">
        <f>D7/F7</f>
        <v>3.9058587881822732E-2</v>
      </c>
      <c r="H7" s="583">
        <v>5.0599999999999999E-2</v>
      </c>
      <c r="I7" s="584">
        <f>G7/H7</f>
        <v>0.77190885141942156</v>
      </c>
      <c r="J7" s="576"/>
      <c r="K7" s="538"/>
      <c r="L7" s="578"/>
      <c r="M7" s="578"/>
      <c r="N7" s="578"/>
      <c r="O7" s="585">
        <f>I7*12</f>
        <v>9.2629062170330592</v>
      </c>
      <c r="P7" s="562"/>
      <c r="Q7" s="562"/>
      <c r="R7" s="13" t="s">
        <v>3</v>
      </c>
      <c r="S7" s="14">
        <f>R14</f>
        <v>0.28448429468023373</v>
      </c>
      <c r="T7" s="15">
        <f>S7/S9</f>
        <v>6.7734355876246126E-3</v>
      </c>
      <c r="V7" s="586">
        <f t="shared" ref="V7:V8" si="0">S7*365.25/12</f>
        <v>8.6589907193296138</v>
      </c>
      <c r="W7" s="66"/>
      <c r="X7" s="6"/>
      <c r="Y7" s="66"/>
      <c r="Z7" s="6"/>
      <c r="AA7" s="6"/>
      <c r="AB7" s="6"/>
      <c r="AC7" s="6"/>
      <c r="AD7" s="6"/>
    </row>
    <row r="8" spans="2:30" ht="12.75" customHeight="1" x14ac:dyDescent="0.3">
      <c r="B8" s="572"/>
      <c r="C8" s="580" t="s">
        <v>219</v>
      </c>
      <c r="D8" s="581">
        <v>106</v>
      </c>
      <c r="E8" s="555">
        <v>1919</v>
      </c>
      <c r="F8" s="556">
        <v>2015</v>
      </c>
      <c r="G8" s="582">
        <f t="shared" ref="G8:G9" si="1">D8/F8</f>
        <v>5.2605459057071959E-2</v>
      </c>
      <c r="H8" s="583">
        <v>4.82E-2</v>
      </c>
      <c r="I8" s="584">
        <f>G8/H8</f>
        <v>1.0913995654994182</v>
      </c>
      <c r="J8" s="576"/>
      <c r="K8" s="538"/>
      <c r="L8" s="578"/>
      <c r="M8" s="587"/>
      <c r="N8" s="578"/>
      <c r="O8" s="585">
        <f>I8*12</f>
        <v>13.096794785993019</v>
      </c>
      <c r="P8" s="562"/>
      <c r="Q8" s="562"/>
      <c r="R8" s="16" t="s">
        <v>2</v>
      </c>
      <c r="S8" s="588">
        <f>Q14</f>
        <v>40.895285359801491</v>
      </c>
      <c r="T8" s="17">
        <f>S8/S9</f>
        <v>0.97369727047146404</v>
      </c>
      <c r="V8" s="589">
        <f t="shared" si="0"/>
        <v>1244.7502481389579</v>
      </c>
      <c r="W8" s="66"/>
      <c r="X8" s="6"/>
      <c r="Y8" s="66"/>
      <c r="Z8" s="6"/>
      <c r="AA8" s="6"/>
      <c r="AB8" s="6"/>
      <c r="AC8" s="6"/>
      <c r="AD8" s="6"/>
    </row>
    <row r="9" spans="2:30" x14ac:dyDescent="0.3">
      <c r="B9" s="590"/>
      <c r="C9" s="591" t="s">
        <v>19</v>
      </c>
      <c r="D9" s="557">
        <f>SUM(D7:D8)</f>
        <v>184</v>
      </c>
      <c r="E9" s="558">
        <f>SUM(E7:E8)</f>
        <v>3838</v>
      </c>
      <c r="F9" s="559">
        <f>SUM(F7:F8)</f>
        <v>4012</v>
      </c>
      <c r="G9" s="582">
        <f t="shared" si="1"/>
        <v>4.5862412761714856E-2</v>
      </c>
      <c r="H9" s="592"/>
      <c r="I9" s="593">
        <f>AVERAGE(I7:I8)</f>
        <v>0.93165420845941993</v>
      </c>
      <c r="J9" s="576"/>
      <c r="K9" s="538"/>
      <c r="L9" s="578"/>
      <c r="M9" s="587"/>
      <c r="N9" s="578"/>
      <c r="O9" s="585">
        <f>I9*12</f>
        <v>11.179850501513039</v>
      </c>
      <c r="P9" s="562"/>
      <c r="Q9" s="594"/>
      <c r="S9" s="595">
        <f>SUM(S6:S8)</f>
        <v>42</v>
      </c>
      <c r="V9" s="18">
        <f>SUM(V6:V8)</f>
        <v>1278.375</v>
      </c>
      <c r="W9" s="66"/>
      <c r="X9" s="6"/>
      <c r="Y9" s="66"/>
      <c r="Z9" s="6"/>
      <c r="AA9" s="6"/>
      <c r="AB9" s="6"/>
      <c r="AC9" s="6"/>
      <c r="AD9" s="6"/>
    </row>
    <row r="10" spans="2:30" ht="12.75" customHeight="1" x14ac:dyDescent="0.3">
      <c r="C10" s="567"/>
      <c r="D10" s="567"/>
      <c r="E10" s="567"/>
      <c r="F10" s="567"/>
      <c r="G10" s="567"/>
      <c r="H10" s="68"/>
      <c r="I10" s="67"/>
      <c r="J10" s="67"/>
      <c r="K10" s="67"/>
      <c r="L10" s="68"/>
      <c r="M10" s="70"/>
      <c r="N10" s="68"/>
      <c r="P10" s="71"/>
      <c r="Q10" s="594"/>
      <c r="R10" s="594"/>
      <c r="S10" s="594"/>
      <c r="T10" s="66"/>
      <c r="V10" s="66"/>
      <c r="W10" s="66"/>
      <c r="X10" s="6"/>
      <c r="Y10" s="66"/>
      <c r="Z10" s="6"/>
      <c r="AA10" s="6"/>
      <c r="AB10" s="6"/>
      <c r="AC10" s="6"/>
      <c r="AD10" s="6"/>
    </row>
    <row r="11" spans="2:30" s="7" customFormat="1" ht="14.25" hidden="1" customHeight="1" x14ac:dyDescent="0.3">
      <c r="B11" s="72" t="s">
        <v>20</v>
      </c>
      <c r="C11" s="73"/>
      <c r="D11" s="74"/>
      <c r="E11" s="4"/>
      <c r="F11" s="75"/>
      <c r="G11" s="76"/>
      <c r="H11" s="70"/>
      <c r="I11" s="76"/>
      <c r="J11" s="70"/>
      <c r="K11" s="77"/>
      <c r="L11" s="77"/>
      <c r="M11" s="76"/>
      <c r="N11" s="77"/>
      <c r="P11" s="4"/>
      <c r="Q11" s="78"/>
      <c r="R11" s="78"/>
      <c r="S11" s="78"/>
      <c r="T11" s="4"/>
      <c r="U11" s="4"/>
      <c r="V11" s="4"/>
      <c r="W11" s="4"/>
    </row>
    <row r="12" spans="2:30" s="7" customFormat="1" ht="12.75" hidden="1" customHeight="1" x14ac:dyDescent="0.3">
      <c r="B12" s="69" t="s">
        <v>21</v>
      </c>
      <c r="C12" s="73"/>
      <c r="D12" s="74"/>
      <c r="E12" s="4"/>
      <c r="F12" s="75"/>
      <c r="G12" s="76"/>
      <c r="H12" s="70"/>
      <c r="I12" s="76"/>
      <c r="J12" s="70"/>
      <c r="K12" s="79"/>
      <c r="L12" s="77"/>
      <c r="M12" s="77"/>
      <c r="N12" s="77"/>
      <c r="O12" s="7" t="s">
        <v>108</v>
      </c>
      <c r="P12" s="4"/>
      <c r="Q12" s="78"/>
      <c r="R12" s="59"/>
      <c r="S12" s="59"/>
      <c r="T12" s="4"/>
      <c r="U12" s="4"/>
      <c r="V12" s="4"/>
      <c r="W12" s="4"/>
    </row>
    <row r="13" spans="2:30" s="7" customFormat="1" ht="45" hidden="1" customHeight="1" x14ac:dyDescent="0.3">
      <c r="B13" s="80" t="s">
        <v>22</v>
      </c>
      <c r="C13" s="80" t="s">
        <v>23</v>
      </c>
      <c r="D13" s="80" t="s">
        <v>24</v>
      </c>
      <c r="E13" s="80" t="s">
        <v>25</v>
      </c>
      <c r="F13" s="80" t="s">
        <v>26</v>
      </c>
      <c r="G13" s="80" t="s">
        <v>27</v>
      </c>
      <c r="H13" s="80" t="s">
        <v>28</v>
      </c>
      <c r="I13" s="80" t="s">
        <v>29</v>
      </c>
      <c r="J13" s="70"/>
      <c r="K13" s="81" t="s">
        <v>30</v>
      </c>
      <c r="L13" s="82" t="s">
        <v>31</v>
      </c>
      <c r="M13" s="82" t="s">
        <v>32</v>
      </c>
      <c r="N13" s="77"/>
      <c r="O13" s="252" t="s">
        <v>109</v>
      </c>
      <c r="P13" s="252" t="s">
        <v>110</v>
      </c>
      <c r="Q13" s="256" t="s">
        <v>2</v>
      </c>
      <c r="R13" s="257" t="s">
        <v>3</v>
      </c>
      <c r="S13" s="258" t="s">
        <v>1</v>
      </c>
      <c r="T13" s="4"/>
      <c r="W13" s="4"/>
    </row>
    <row r="14" spans="2:30" s="7" customFormat="1" ht="12.75" hidden="1" customHeight="1" x14ac:dyDescent="0.3">
      <c r="B14" s="83">
        <f>LN((D7/F7)/(D8/F8))</f>
        <v>-0.29775712645750735</v>
      </c>
      <c r="C14" s="83">
        <f>SQRT((E7/(D7*F7)+(E8/(D8*F8))))</f>
        <v>0.14595980513013534</v>
      </c>
      <c r="D14" s="84">
        <f>-NORMSINV((1-I2)/2)</f>
        <v>1.9599639845400536</v>
      </c>
      <c r="E14" s="85">
        <f>B14-(D14*C14)</f>
        <v>-0.5838330877030572</v>
      </c>
      <c r="F14" s="86">
        <f>B14+(D14*C14)</f>
        <v>-1.16811652119575E-2</v>
      </c>
      <c r="G14" s="87">
        <f>(D7/F7)/(D8/F8)</f>
        <v>0.74248164699880004</v>
      </c>
      <c r="H14" s="87">
        <f>EXP(E14)</f>
        <v>0.55775633494175669</v>
      </c>
      <c r="I14" s="87">
        <f>EXP(F14)</f>
        <v>0.98838679472393187</v>
      </c>
      <c r="J14" s="70"/>
      <c r="K14" s="88">
        <f>1-G14</f>
        <v>0.25751835300119996</v>
      </c>
      <c r="L14" s="87">
        <f>1-H14</f>
        <v>0.44224366505824331</v>
      </c>
      <c r="M14" s="87">
        <f>1-I14</f>
        <v>1.1613205276068128E-2</v>
      </c>
      <c r="N14" s="89"/>
      <c r="O14" s="254">
        <f>(D7/F7)*H4/2</f>
        <v>0.82023034551827734</v>
      </c>
      <c r="P14" s="255">
        <f>(D8/F8)*H4/2</f>
        <v>1.1047146401985111</v>
      </c>
      <c r="Q14" s="259">
        <f>H4-P14</f>
        <v>40.895285359801491</v>
      </c>
      <c r="R14" s="259">
        <f>P14-O14</f>
        <v>0.28448429468023373</v>
      </c>
      <c r="S14" s="259">
        <f>O14</f>
        <v>0.82023034551827734</v>
      </c>
      <c r="T14" s="4" t="str">
        <f>I4</f>
        <v>meses</v>
      </c>
      <c r="W14" s="4"/>
    </row>
    <row r="15" spans="2:30" s="7" customFormat="1" ht="12.75" hidden="1" customHeight="1" x14ac:dyDescent="0.3">
      <c r="B15" s="90"/>
      <c r="C15" s="73"/>
      <c r="D15" s="73"/>
      <c r="E15" s="73"/>
      <c r="F15" s="91"/>
      <c r="G15" s="92"/>
      <c r="H15" s="70"/>
      <c r="I15" s="76"/>
      <c r="J15" s="70"/>
      <c r="K15" s="76"/>
      <c r="L15" s="76"/>
      <c r="M15" s="76"/>
      <c r="N15" s="77"/>
      <c r="P15" s="4"/>
      <c r="Q15" s="4"/>
      <c r="R15" s="4"/>
      <c r="S15" s="4"/>
      <c r="T15" s="4"/>
      <c r="U15" s="4"/>
      <c r="V15" s="4"/>
      <c r="W15" s="4"/>
    </row>
    <row r="16" spans="2:30" s="6" customFormat="1" ht="12.75" hidden="1" customHeight="1" x14ac:dyDescent="0.3">
      <c r="B16" s="93"/>
      <c r="C16" s="94"/>
      <c r="D16" s="95"/>
      <c r="E16" s="96"/>
      <c r="F16" s="97"/>
      <c r="G16" s="98"/>
      <c r="H16" s="99"/>
      <c r="I16" s="100"/>
      <c r="J16" s="100"/>
      <c r="K16" s="101"/>
      <c r="L16" s="101"/>
      <c r="M16" s="102"/>
      <c r="N16" s="102"/>
    </row>
    <row r="17" spans="2:30" ht="15.75" hidden="1" customHeight="1" x14ac:dyDescent="0.3">
      <c r="B17" s="103" t="s">
        <v>33</v>
      </c>
      <c r="C17" s="4"/>
      <c r="D17" s="104"/>
      <c r="E17" s="104"/>
      <c r="F17" s="58"/>
      <c r="G17" s="58"/>
      <c r="H17" s="105"/>
      <c r="I17" s="106"/>
      <c r="J17" s="107"/>
      <c r="K17" s="107"/>
      <c r="L17" s="7"/>
      <c r="M17" s="77"/>
      <c r="N17" s="70"/>
      <c r="O17" s="106"/>
      <c r="P17" s="4"/>
      <c r="Q17" s="4"/>
      <c r="R17" s="108"/>
      <c r="S17" s="106"/>
      <c r="T17" s="109"/>
      <c r="U17" s="109"/>
      <c r="V17" s="109"/>
      <c r="W17" s="6"/>
      <c r="X17" s="6"/>
      <c r="Y17" s="6"/>
      <c r="Z17" s="6"/>
      <c r="AA17" s="6"/>
      <c r="AB17" s="6"/>
      <c r="AC17" s="6"/>
    </row>
    <row r="18" spans="2:30" ht="12.75" hidden="1" customHeight="1" x14ac:dyDescent="0.3">
      <c r="B18" s="110" t="s">
        <v>34</v>
      </c>
      <c r="C18" s="4"/>
      <c r="D18" s="106"/>
      <c r="E18" s="106"/>
      <c r="F18" s="4"/>
      <c r="G18" s="4"/>
      <c r="H18" s="108"/>
      <c r="I18" s="106"/>
      <c r="J18" s="109"/>
      <c r="K18" s="109"/>
      <c r="L18" s="109"/>
      <c r="M18" s="77"/>
      <c r="N18" s="70"/>
      <c r="O18" s="4"/>
      <c r="P18" s="4"/>
      <c r="Q18" s="108"/>
      <c r="R18" s="106"/>
      <c r="S18" s="109"/>
      <c r="T18" s="109"/>
      <c r="U18" s="109"/>
      <c r="W18" s="6" t="s">
        <v>35</v>
      </c>
      <c r="X18" s="6"/>
      <c r="Y18" s="6"/>
      <c r="Z18" s="6"/>
      <c r="AA18" s="6"/>
      <c r="AB18" s="6"/>
    </row>
    <row r="19" spans="2:30" ht="25.5" hidden="1" customHeight="1" x14ac:dyDescent="0.3">
      <c r="B19" s="111" t="s">
        <v>36</v>
      </c>
      <c r="C19" s="1" t="s">
        <v>37</v>
      </c>
      <c r="D19" s="7"/>
      <c r="E19" s="1" t="s">
        <v>38</v>
      </c>
      <c r="G19" s="1" t="s">
        <v>39</v>
      </c>
      <c r="I19" s="1" t="s">
        <v>40</v>
      </c>
      <c r="J19" s="109"/>
      <c r="K19" s="109"/>
      <c r="L19" s="109"/>
      <c r="M19" s="77"/>
      <c r="N19" s="101"/>
      <c r="P19" s="1"/>
      <c r="T19" s="6"/>
      <c r="V19" s="1"/>
      <c r="W19" s="1" t="s">
        <v>41</v>
      </c>
      <c r="Y19" s="6"/>
      <c r="Z19" s="6"/>
      <c r="AA19" s="6"/>
      <c r="AB19" s="6"/>
      <c r="AC19" s="6"/>
      <c r="AD19" s="6"/>
    </row>
    <row r="20" spans="2:30" ht="38.25" hidden="1" customHeight="1" x14ac:dyDescent="0.4">
      <c r="B20" s="80" t="s">
        <v>42</v>
      </c>
      <c r="C20" s="80" t="s">
        <v>43</v>
      </c>
      <c r="D20" s="596" t="s">
        <v>44</v>
      </c>
      <c r="E20" s="596" t="s">
        <v>37</v>
      </c>
      <c r="F20" s="596" t="s">
        <v>220</v>
      </c>
      <c r="G20" s="596" t="s">
        <v>39</v>
      </c>
      <c r="H20" s="596" t="s">
        <v>40</v>
      </c>
      <c r="I20" s="597" t="s">
        <v>45</v>
      </c>
      <c r="J20" s="596" t="s">
        <v>46</v>
      </c>
      <c r="K20" s="596" t="s">
        <v>31</v>
      </c>
      <c r="L20" s="596" t="s">
        <v>32</v>
      </c>
      <c r="M20" s="112"/>
      <c r="N20" s="113"/>
      <c r="O20" s="114" t="s">
        <v>47</v>
      </c>
      <c r="P20" s="115" t="s">
        <v>48</v>
      </c>
      <c r="Q20" s="116"/>
      <c r="R20" s="117"/>
      <c r="S20" s="118"/>
      <c r="T20" s="118"/>
      <c r="U20" s="119"/>
      <c r="W20" s="120"/>
      <c r="X20" s="114" t="s">
        <v>49</v>
      </c>
      <c r="Y20" s="115" t="s">
        <v>50</v>
      </c>
      <c r="Z20" s="121"/>
      <c r="AA20" s="121"/>
      <c r="AB20" s="121" t="s">
        <v>51</v>
      </c>
      <c r="AC20" s="121"/>
      <c r="AD20" s="122"/>
    </row>
    <row r="21" spans="2:30" ht="12.75" hidden="1" customHeight="1" x14ac:dyDescent="0.3">
      <c r="B21" s="454">
        <f>D7</f>
        <v>78</v>
      </c>
      <c r="C21" s="455">
        <f>F7</f>
        <v>1997</v>
      </c>
      <c r="D21" s="456">
        <f>B21/C21</f>
        <v>3.9058587881822732E-2</v>
      </c>
      <c r="E21" s="457">
        <f>2*B21+I21^2</f>
        <v>159.84145882069413</v>
      </c>
      <c r="F21" s="457">
        <f>I21*SQRT((I21^2)+(4*B21*(1-D21)))</f>
        <v>34.153753342225805</v>
      </c>
      <c r="G21" s="458">
        <f>2*(C21+I21^2)</f>
        <v>4001.682917641388</v>
      </c>
      <c r="H21" s="459" t="s">
        <v>52</v>
      </c>
      <c r="I21" s="84">
        <f>-NORMSINV((1-I2)/2)</f>
        <v>1.9599639845400536</v>
      </c>
      <c r="J21" s="598">
        <f>D21</f>
        <v>3.9058587881822732E-2</v>
      </c>
      <c r="K21" s="598">
        <f>(E21-F21)/G21</f>
        <v>3.1408711800821366E-2</v>
      </c>
      <c r="L21" s="598">
        <f>(E21+F21)/G21</f>
        <v>4.8478406749243808E-2</v>
      </c>
      <c r="M21" s="112"/>
      <c r="N21" s="123">
        <f>F9/2</f>
        <v>2006</v>
      </c>
      <c r="O21" s="8" t="s">
        <v>53</v>
      </c>
      <c r="P21" s="4"/>
      <c r="Q21" s="108"/>
      <c r="R21" s="106"/>
      <c r="S21" s="109"/>
      <c r="T21" s="109"/>
      <c r="U21" s="124"/>
      <c r="W21" s="125">
        <f>ABS(D21-D22)</f>
        <v>1.3546871175249227E-2</v>
      </c>
      <c r="X21" s="8" t="s">
        <v>54</v>
      </c>
      <c r="Y21" s="4"/>
      <c r="Z21" s="8"/>
      <c r="AA21" s="8"/>
      <c r="AB21" s="8" t="s">
        <v>55</v>
      </c>
      <c r="AC21" s="8"/>
      <c r="AD21" s="126"/>
    </row>
    <row r="22" spans="2:30" ht="14.25" hidden="1" customHeight="1" x14ac:dyDescent="0.4">
      <c r="B22" s="454">
        <f>D8</f>
        <v>106</v>
      </c>
      <c r="C22" s="455">
        <f>F8</f>
        <v>2015</v>
      </c>
      <c r="D22" s="456">
        <f>B22/C22</f>
        <v>5.2605459057071959E-2</v>
      </c>
      <c r="E22" s="457">
        <f>2*B22+I22^2</f>
        <v>215.84145882069413</v>
      </c>
      <c r="F22" s="457">
        <f>I22*SQRT((I22^2)+(4*B22*(1-D22)))</f>
        <v>39.46964280365026</v>
      </c>
      <c r="G22" s="458">
        <f>2*(C22+I22^2)</f>
        <v>4037.682917641388</v>
      </c>
      <c r="H22" s="459" t="s">
        <v>52</v>
      </c>
      <c r="I22" s="84">
        <f>-NORMSINV((1-I2)/2)</f>
        <v>1.9599639845400536</v>
      </c>
      <c r="J22" s="598">
        <f>D22</f>
        <v>5.2605459057071959E-2</v>
      </c>
      <c r="K22" s="598">
        <f>(E22-F22)/G22</f>
        <v>4.3681442949975738E-2</v>
      </c>
      <c r="L22" s="598">
        <f>(E22+F22)/G22</f>
        <v>6.3232083061511013E-2</v>
      </c>
      <c r="M22" s="112"/>
      <c r="N22" s="127">
        <f>J26</f>
        <v>1.3546871175249227E-2</v>
      </c>
      <c r="O22" s="8" t="s">
        <v>56</v>
      </c>
      <c r="P22" s="8"/>
      <c r="Q22" s="8"/>
      <c r="R22" s="8"/>
      <c r="S22" s="8"/>
      <c r="T22" s="8"/>
      <c r="U22" s="128"/>
      <c r="W22" s="129">
        <f>SQRT((D23*(1-D23)/C21)+(D23*(1-D23)/C22))</f>
        <v>6.6052286535990398E-3</v>
      </c>
      <c r="X22" s="110" t="s">
        <v>57</v>
      </c>
      <c r="Y22" s="8"/>
      <c r="Z22" s="8"/>
      <c r="AA22" s="8"/>
      <c r="AB22" s="8"/>
      <c r="AC22" s="8"/>
      <c r="AD22" s="126"/>
    </row>
    <row r="23" spans="2:30" ht="12.75" hidden="1" customHeight="1" x14ac:dyDescent="0.3">
      <c r="B23" s="454">
        <f>D9</f>
        <v>184</v>
      </c>
      <c r="C23" s="455">
        <f>F9</f>
        <v>4012</v>
      </c>
      <c r="D23" s="456">
        <f>B23/C23</f>
        <v>4.5862412761714856E-2</v>
      </c>
      <c r="E23" s="457">
        <f>2*B23+I23^2</f>
        <v>371.84145882069413</v>
      </c>
      <c r="F23" s="457">
        <f>I23*SQRT((I23^2)+(4*B23*(1-D23)))</f>
        <v>52.080736077279049</v>
      </c>
      <c r="G23" s="458">
        <f>2*(C23+I23^2)</f>
        <v>8031.6829176413885</v>
      </c>
      <c r="H23" s="459" t="s">
        <v>52</v>
      </c>
      <c r="I23" s="84">
        <f>-NORMSINV((1-I2)/2)</f>
        <v>1.9599639845400536</v>
      </c>
      <c r="J23" s="598">
        <f>D23</f>
        <v>4.5862412761714856E-2</v>
      </c>
      <c r="K23" s="598">
        <f>(E23-F23)/G23</f>
        <v>3.9812418645296464E-2</v>
      </c>
      <c r="L23" s="598">
        <f>(E23+F23)/G23</f>
        <v>5.2781241396723813E-2</v>
      </c>
      <c r="M23" s="112"/>
      <c r="N23" s="130">
        <f>(B21+B22)/(C21+C22)</f>
        <v>4.5862412761714856E-2</v>
      </c>
      <c r="O23" s="8" t="s">
        <v>58</v>
      </c>
      <c r="P23" s="4"/>
      <c r="Q23" s="108"/>
      <c r="R23" s="106"/>
      <c r="S23" s="109"/>
      <c r="T23" s="109"/>
      <c r="U23" s="126"/>
      <c r="W23" s="131">
        <f>W21/W22</f>
        <v>2.0509314492644917</v>
      </c>
      <c r="X23" s="8" t="s">
        <v>59</v>
      </c>
      <c r="Y23" s="4"/>
      <c r="Z23" s="8"/>
      <c r="AA23" s="8"/>
      <c r="AB23" s="8"/>
      <c r="AC23" s="8"/>
      <c r="AD23" s="126"/>
    </row>
    <row r="24" spans="2:30" ht="15" hidden="1" customHeight="1" x14ac:dyDescent="0.3">
      <c r="B24" s="69"/>
      <c r="C24" s="132" t="s">
        <v>60</v>
      </c>
      <c r="F24" s="133"/>
      <c r="G24" s="100"/>
      <c r="H24" s="100"/>
      <c r="I24" s="100"/>
      <c r="J24" s="100"/>
      <c r="K24" s="101"/>
      <c r="L24" s="68"/>
      <c r="M24" s="112"/>
      <c r="N24" s="134">
        <f>SQRT(N21*N22^2/(2*N23*(1-N23)))-I21</f>
        <v>9.0988106681343162E-2</v>
      </c>
      <c r="O24" s="8" t="s">
        <v>61</v>
      </c>
      <c r="P24" s="8"/>
      <c r="Q24" s="8"/>
      <c r="R24" s="8"/>
      <c r="S24" s="8"/>
      <c r="T24" s="7"/>
      <c r="U24" s="124"/>
      <c r="W24" s="135">
        <f>NORMSDIST(-W23)</f>
        <v>2.0136811484984571E-2</v>
      </c>
      <c r="X24" s="103" t="s">
        <v>62</v>
      </c>
      <c r="Y24" s="8"/>
      <c r="Z24" s="7"/>
      <c r="AA24" s="7"/>
      <c r="AB24" s="7"/>
      <c r="AC24" s="7"/>
      <c r="AD24" s="128"/>
    </row>
    <row r="25" spans="2:30" ht="13.5" hidden="1" customHeight="1" x14ac:dyDescent="0.3">
      <c r="B25" s="69"/>
      <c r="C25" s="132" t="s">
        <v>63</v>
      </c>
      <c r="D25" s="2"/>
      <c r="E25" s="136"/>
      <c r="F25" s="133"/>
      <c r="G25" s="100"/>
      <c r="H25" s="68"/>
      <c r="I25" s="68"/>
      <c r="J25" s="137"/>
      <c r="K25" s="137"/>
      <c r="L25" s="137"/>
      <c r="M25" s="112"/>
      <c r="N25" s="138">
        <f>NORMSDIST(N24)</f>
        <v>0.53624897932601667</v>
      </c>
      <c r="O25" s="103" t="s">
        <v>64</v>
      </c>
      <c r="P25" s="139"/>
      <c r="Q25" s="8"/>
      <c r="R25" s="8"/>
      <c r="S25" s="8"/>
      <c r="T25" s="8"/>
      <c r="U25" s="126"/>
      <c r="W25" s="140">
        <f>1-W24</f>
        <v>0.97986318851501542</v>
      </c>
      <c r="X25" s="141" t="s">
        <v>65</v>
      </c>
      <c r="Y25" s="139"/>
      <c r="Z25" s="7"/>
      <c r="AA25" s="7"/>
      <c r="AB25" s="7"/>
      <c r="AC25" s="7"/>
      <c r="AD25" s="128"/>
    </row>
    <row r="26" spans="2:30" ht="15" hidden="1" customHeight="1" x14ac:dyDescent="0.35">
      <c r="F26" s="142"/>
      <c r="G26" s="68"/>
      <c r="H26" s="68"/>
      <c r="I26" s="61" t="s">
        <v>66</v>
      </c>
      <c r="J26" s="599">
        <f>D22-D21</f>
        <v>1.3546871175249227E-2</v>
      </c>
      <c r="K26" s="600">
        <f>J26+SQRT((D22-K22)^2+(L21-D21)^2)</f>
        <v>2.6522658279495924E-2</v>
      </c>
      <c r="L26" s="601">
        <f>J26-SQRT((D21-K21)^2+(L22-D22)^2)</f>
        <v>4.531420736373741E-4</v>
      </c>
      <c r="M26" s="67"/>
      <c r="N26" s="143">
        <f>1-N25</f>
        <v>0.46375102067398333</v>
      </c>
      <c r="O26" s="144" t="s">
        <v>67</v>
      </c>
      <c r="P26" s="145"/>
      <c r="Q26" s="146"/>
      <c r="R26" s="145"/>
      <c r="S26" s="145"/>
      <c r="T26" s="145"/>
      <c r="U26" s="147"/>
      <c r="W26" s="148"/>
      <c r="X26" s="149"/>
      <c r="Y26" s="145"/>
      <c r="Z26" s="149"/>
      <c r="AA26" s="149"/>
      <c r="AB26" s="149"/>
      <c r="AC26" s="149"/>
      <c r="AD26" s="150"/>
    </row>
    <row r="27" spans="2:30" ht="13.5" hidden="1" customHeight="1" x14ac:dyDescent="0.3">
      <c r="F27" s="151"/>
      <c r="G27" s="68"/>
      <c r="H27" s="68"/>
      <c r="I27" s="61" t="s">
        <v>68</v>
      </c>
      <c r="J27" s="602">
        <f>1/J26</f>
        <v>73.817783240387428</v>
      </c>
      <c r="K27" s="603">
        <f>1/K26</f>
        <v>37.703611359841624</v>
      </c>
      <c r="L27" s="604">
        <f>1/L26</f>
        <v>2206.8133995437547</v>
      </c>
      <c r="M27" s="67"/>
      <c r="N27" s="68"/>
      <c r="O27" s="1"/>
      <c r="P27" s="1"/>
      <c r="U27" s="1"/>
      <c r="V27" s="1"/>
      <c r="W27" s="6"/>
      <c r="X27" s="6"/>
      <c r="Y27" s="6"/>
      <c r="Z27" s="6"/>
      <c r="AA27" s="6"/>
      <c r="AB27" s="6"/>
      <c r="AC27" s="6"/>
    </row>
    <row r="28" spans="2:30" ht="14.25" hidden="1" customHeight="1" x14ac:dyDescent="0.4">
      <c r="G28" s="68"/>
      <c r="H28" s="68"/>
      <c r="K28" s="152"/>
      <c r="L28" s="152"/>
      <c r="M28" s="153"/>
      <c r="N28" s="113"/>
      <c r="O28" s="154"/>
      <c r="P28" s="154" t="s">
        <v>57</v>
      </c>
      <c r="Q28" s="155">
        <f>SQRT((D23*(1-D23)/C21)+(D23*(1-D23)/C22))</f>
        <v>6.6052286535990398E-3</v>
      </c>
      <c r="R28" s="156"/>
      <c r="S28" s="156"/>
      <c r="T28" s="156"/>
      <c r="U28" s="122"/>
      <c r="V28" s="1"/>
    </row>
    <row r="29" spans="2:30" ht="31.5" hidden="1" customHeight="1" x14ac:dyDescent="0.35">
      <c r="F29" s="157"/>
      <c r="G29" s="605"/>
      <c r="H29" s="606" t="s">
        <v>221</v>
      </c>
      <c r="I29" s="607" t="s">
        <v>11</v>
      </c>
      <c r="J29" s="608">
        <f>J27</f>
        <v>73.817783240387428</v>
      </c>
      <c r="K29" s="608">
        <f>K27</f>
        <v>37.703611359841624</v>
      </c>
      <c r="L29" s="608">
        <f>L27</f>
        <v>2206.8133995437547</v>
      </c>
      <c r="M29" s="68"/>
      <c r="N29" s="158" t="s">
        <v>69</v>
      </c>
      <c r="O29" s="159"/>
      <c r="P29" s="8" t="s">
        <v>70</v>
      </c>
      <c r="Q29" s="8"/>
      <c r="R29" s="108"/>
      <c r="S29" s="160" t="s">
        <v>71</v>
      </c>
      <c r="T29" s="8"/>
      <c r="U29" s="126"/>
      <c r="V29" s="1"/>
    </row>
    <row r="30" spans="2:30" s="7" customFormat="1" ht="14.25" hidden="1" customHeight="1" x14ac:dyDescent="0.4">
      <c r="F30" s="609"/>
      <c r="G30" s="610"/>
      <c r="H30" s="611"/>
      <c r="I30" s="612" t="s">
        <v>222</v>
      </c>
      <c r="J30" s="613">
        <f>(1-D22)*J27</f>
        <v>69.93456486645141</v>
      </c>
      <c r="K30" s="614">
        <f>(1-D22)*K27</f>
        <v>35.720195576147724</v>
      </c>
      <c r="L30" s="614">
        <f>(1-D22)*L27</f>
        <v>2090.722967607458</v>
      </c>
      <c r="M30" s="68"/>
      <c r="N30" s="161"/>
      <c r="O30" s="162" t="s">
        <v>72</v>
      </c>
      <c r="Q30" s="163" t="s">
        <v>73</v>
      </c>
      <c r="R30" s="162" t="s">
        <v>74</v>
      </c>
      <c r="S30" s="8"/>
      <c r="T30" s="8"/>
      <c r="U30" s="128"/>
    </row>
    <row r="31" spans="2:30" s="7" customFormat="1" ht="14.25" hidden="1" customHeight="1" x14ac:dyDescent="0.4">
      <c r="F31" s="615"/>
      <c r="G31" s="610"/>
      <c r="H31" s="611"/>
      <c r="I31" s="612" t="s">
        <v>223</v>
      </c>
      <c r="J31" s="616">
        <f>J27*J26</f>
        <v>0.99999999999999989</v>
      </c>
      <c r="K31" s="616">
        <f>K27*K26</f>
        <v>1</v>
      </c>
      <c r="L31" s="616">
        <f>L27*L26</f>
        <v>1</v>
      </c>
      <c r="M31" s="77"/>
      <c r="N31" s="134">
        <f>ABS((J26/Q28))-I21</f>
        <v>9.0967464724438063E-2</v>
      </c>
      <c r="O31" s="162" t="s">
        <v>75</v>
      </c>
      <c r="P31" s="8"/>
      <c r="Q31" s="8"/>
      <c r="R31" s="106"/>
      <c r="S31" s="109"/>
      <c r="T31" s="109"/>
      <c r="U31" s="124"/>
    </row>
    <row r="32" spans="2:30" s="7" customFormat="1" ht="12.75" hidden="1" customHeight="1" x14ac:dyDescent="0.3">
      <c r="B32" s="164"/>
      <c r="C32" s="165"/>
      <c r="E32" s="166"/>
      <c r="G32" s="617"/>
      <c r="H32" s="618"/>
      <c r="I32" s="619" t="s">
        <v>224</v>
      </c>
      <c r="J32" s="620">
        <f>(D22-J26)*J27</f>
        <v>2.8832183739360135</v>
      </c>
      <c r="K32" s="621">
        <f>(D22-K26)*K27</f>
        <v>0.9834157836939017</v>
      </c>
      <c r="L32" s="621">
        <f>(D22-L26)*L27</f>
        <v>115.09043193629678</v>
      </c>
      <c r="M32" s="77"/>
      <c r="N32" s="138">
        <f>NORMSDIST(N31)</f>
        <v>0.53624077838639717</v>
      </c>
      <c r="O32" s="110" t="s">
        <v>76</v>
      </c>
      <c r="P32" s="139"/>
      <c r="Q32" s="8"/>
      <c r="R32" s="8"/>
      <c r="S32" s="8"/>
      <c r="T32" s="8"/>
      <c r="U32" s="128"/>
    </row>
    <row r="33" spans="1:22" s="7" customFormat="1" ht="12.75" hidden="1" customHeight="1" x14ac:dyDescent="0.3">
      <c r="B33" s="164"/>
      <c r="G33" s="622"/>
      <c r="H33" s="623"/>
      <c r="I33" s="623"/>
      <c r="J33" s="624"/>
      <c r="K33" s="624"/>
      <c r="L33" s="624"/>
      <c r="M33" s="77"/>
      <c r="N33" s="143">
        <f>1-N32</f>
        <v>0.46375922161360283</v>
      </c>
      <c r="O33" s="145" t="s">
        <v>77</v>
      </c>
      <c r="P33" s="145"/>
      <c r="Q33" s="146"/>
      <c r="R33" s="167"/>
      <c r="S33" s="168"/>
      <c r="T33" s="168"/>
      <c r="U33" s="147"/>
    </row>
    <row r="34" spans="1:22" s="7" customFormat="1" ht="12.75" hidden="1" customHeight="1" x14ac:dyDescent="0.3">
      <c r="B34" s="164"/>
      <c r="G34" s="622"/>
      <c r="H34" s="612" t="s">
        <v>225</v>
      </c>
      <c r="I34" s="625" t="s">
        <v>226</v>
      </c>
      <c r="J34" s="626">
        <f>ABS(J27)</f>
        <v>73.817783240387428</v>
      </c>
      <c r="K34" s="626">
        <f>ABS(L27)</f>
        <v>2206.8133995437547</v>
      </c>
      <c r="L34" s="626">
        <f>ABS(K27)</f>
        <v>37.703611359841624</v>
      </c>
      <c r="M34" s="77"/>
      <c r="N34" s="627"/>
      <c r="O34" s="8"/>
      <c r="P34" s="8"/>
      <c r="Q34" s="628"/>
      <c r="R34" s="106"/>
      <c r="S34" s="109"/>
      <c r="T34" s="109"/>
      <c r="U34" s="8"/>
    </row>
    <row r="35" spans="1:22" s="7" customFormat="1" ht="12.75" hidden="1" customHeight="1" x14ac:dyDescent="0.3">
      <c r="B35" s="164"/>
      <c r="G35" s="622"/>
      <c r="H35" s="611"/>
      <c r="I35" s="612" t="s">
        <v>222</v>
      </c>
      <c r="J35" s="614">
        <f>ABS((1-(D22-J26))*J27)</f>
        <v>70.93456486645141</v>
      </c>
      <c r="K35" s="614">
        <f>ABS((1-(D22-L26))*L27)</f>
        <v>2091.722967607458</v>
      </c>
      <c r="L35" s="614">
        <f>ABS((1-(D22-K26))*K27)</f>
        <v>36.720195576147724</v>
      </c>
      <c r="M35" s="77"/>
      <c r="N35" s="627"/>
      <c r="O35" s="8"/>
      <c r="P35" s="8"/>
      <c r="Q35" s="628"/>
      <c r="R35" s="106"/>
      <c r="S35" s="109"/>
      <c r="T35" s="109"/>
      <c r="U35" s="8"/>
    </row>
    <row r="36" spans="1:22" s="7" customFormat="1" ht="12.75" hidden="1" customHeight="1" x14ac:dyDescent="0.3">
      <c r="B36" s="164"/>
      <c r="G36" s="622"/>
      <c r="H36" s="611"/>
      <c r="I36" s="612" t="s">
        <v>227</v>
      </c>
      <c r="J36" s="629">
        <f>J27*J26</f>
        <v>0.99999999999999989</v>
      </c>
      <c r="K36" s="629">
        <f>L27*L26</f>
        <v>1</v>
      </c>
      <c r="L36" s="629">
        <f>K27*K26</f>
        <v>1</v>
      </c>
      <c r="M36" s="77"/>
      <c r="N36" s="627"/>
      <c r="O36" s="8"/>
      <c r="P36" s="8"/>
      <c r="Q36" s="628"/>
      <c r="R36" s="106"/>
      <c r="S36" s="109"/>
      <c r="T36" s="109"/>
      <c r="U36" s="8"/>
    </row>
    <row r="37" spans="1:22" ht="15.75" hidden="1" customHeight="1" x14ac:dyDescent="0.35">
      <c r="B37" s="169" t="s">
        <v>78</v>
      </c>
      <c r="C37" s="170"/>
      <c r="D37" s="170"/>
      <c r="E37" s="170"/>
      <c r="F37" s="7"/>
      <c r="G37" s="622"/>
      <c r="H37" s="618"/>
      <c r="I37" s="619" t="s">
        <v>228</v>
      </c>
      <c r="J37" s="621">
        <f>ABS(D22*J27)</f>
        <v>3.8832183739360135</v>
      </c>
      <c r="K37" s="621">
        <f>ABS(D22*L27)</f>
        <v>116.09043193629677</v>
      </c>
      <c r="L37" s="621">
        <f>ABS(D22*K27)</f>
        <v>1.9834157836939017</v>
      </c>
      <c r="M37" s="68"/>
      <c r="N37" s="67"/>
      <c r="O37" s="8"/>
      <c r="P37" s="8"/>
      <c r="Q37" s="8"/>
      <c r="R37" s="8"/>
      <c r="S37" s="8"/>
      <c r="T37" s="8"/>
      <c r="U37" s="8"/>
      <c r="V37" s="8"/>
    </row>
    <row r="38" spans="1:22" s="6" customFormat="1" ht="12.75" hidden="1" customHeight="1" x14ac:dyDescent="0.3">
      <c r="B38" s="69"/>
      <c r="C38" s="172" t="s">
        <v>15</v>
      </c>
      <c r="D38" s="173" t="s">
        <v>16</v>
      </c>
      <c r="E38" s="8"/>
      <c r="F38" s="171"/>
      <c r="G38" s="174"/>
      <c r="H38" s="175"/>
      <c r="I38" s="176"/>
      <c r="J38" s="177"/>
      <c r="K38" s="177"/>
      <c r="L38" s="177"/>
      <c r="M38" s="101"/>
      <c r="N38" s="77"/>
      <c r="O38" s="7"/>
      <c r="P38" s="7"/>
      <c r="Q38" s="7"/>
      <c r="R38" s="7"/>
    </row>
    <row r="39" spans="1:22" ht="12.75" hidden="1" customHeight="1" x14ac:dyDescent="0.3">
      <c r="B39" s="178" t="s">
        <v>79</v>
      </c>
      <c r="C39" s="179" t="s">
        <v>17</v>
      </c>
      <c r="D39" s="180" t="s">
        <v>18</v>
      </c>
      <c r="E39" s="3" t="s">
        <v>19</v>
      </c>
      <c r="G39" s="68"/>
      <c r="H39" s="68"/>
      <c r="I39" s="68"/>
      <c r="J39" s="68"/>
      <c r="K39" s="68"/>
      <c r="L39" s="68"/>
      <c r="M39" s="68"/>
      <c r="N39" s="77"/>
      <c r="O39" s="7"/>
      <c r="P39" s="7"/>
      <c r="Q39" s="7"/>
      <c r="R39" s="7"/>
      <c r="U39" s="1"/>
      <c r="V39" s="1"/>
    </row>
    <row r="40" spans="1:22" ht="12.75" hidden="1" customHeight="1" x14ac:dyDescent="0.3">
      <c r="B40" s="181" t="s">
        <v>80</v>
      </c>
      <c r="C40" s="182">
        <f>F7*D9/F9</f>
        <v>91.587238285144565</v>
      </c>
      <c r="D40" s="182">
        <f>F7*E9/F9</f>
        <v>1910.390329012961</v>
      </c>
      <c r="E40" s="182">
        <f>F7</f>
        <v>1997</v>
      </c>
      <c r="G40" s="9"/>
      <c r="H40" s="183" t="s">
        <v>81</v>
      </c>
      <c r="I40" s="184">
        <f>CHIINV(0.05,K41)</f>
        <v>3.8414588206941236</v>
      </c>
      <c r="J40" s="68"/>
      <c r="K40" s="68"/>
      <c r="L40" s="68"/>
      <c r="M40" s="68"/>
      <c r="N40" s="77"/>
      <c r="O40" s="185"/>
      <c r="P40" s="185"/>
      <c r="Q40" s="185"/>
      <c r="R40" s="7"/>
      <c r="U40" s="1"/>
      <c r="V40" s="1"/>
    </row>
    <row r="41" spans="1:22" ht="12.75" hidden="1" customHeight="1" x14ac:dyDescent="0.3">
      <c r="B41" s="186" t="s">
        <v>82</v>
      </c>
      <c r="C41" s="182">
        <f>F8*D9/F9</f>
        <v>92.412761714855435</v>
      </c>
      <c r="D41" s="182">
        <f>F8*E9/F9</f>
        <v>1927.609670987039</v>
      </c>
      <c r="E41" s="182">
        <f>F8</f>
        <v>2015</v>
      </c>
      <c r="F41" s="6"/>
      <c r="G41" s="187"/>
      <c r="H41" s="187"/>
      <c r="I41" s="188"/>
      <c r="J41" s="189" t="s">
        <v>83</v>
      </c>
      <c r="K41" s="190">
        <f>(COUNT(C40:D40)-1)*(COUNT(C40:C41)-1)</f>
        <v>1</v>
      </c>
      <c r="L41" s="68"/>
      <c r="M41" s="68"/>
      <c r="N41" s="68"/>
      <c r="O41" s="185"/>
      <c r="P41" s="185"/>
      <c r="Q41" s="185"/>
      <c r="R41" s="7"/>
      <c r="U41" s="1"/>
      <c r="V41" s="1"/>
    </row>
    <row r="42" spans="1:22" ht="12.75" hidden="1" customHeight="1" x14ac:dyDescent="0.3">
      <c r="B42" s="191" t="s">
        <v>84</v>
      </c>
      <c r="C42" s="182">
        <f>SUM(C40:C41)</f>
        <v>184</v>
      </c>
      <c r="D42" s="182">
        <f>SUM(D40:D41)</f>
        <v>3838</v>
      </c>
      <c r="E42" s="192">
        <f>SUM(E40:E41)</f>
        <v>4012</v>
      </c>
      <c r="F42" s="6"/>
      <c r="G42" s="101"/>
      <c r="H42" s="193" t="s">
        <v>85</v>
      </c>
      <c r="I42" s="194" t="s">
        <v>86</v>
      </c>
      <c r="J42" s="68"/>
      <c r="K42" s="68"/>
      <c r="L42" s="68"/>
      <c r="M42" s="68"/>
      <c r="N42" s="68"/>
      <c r="O42" s="185"/>
      <c r="P42" s="195"/>
      <c r="Q42" s="185"/>
      <c r="R42" s="7"/>
      <c r="U42" s="1"/>
      <c r="V42" s="1"/>
    </row>
    <row r="43" spans="1:22" ht="12.75" hidden="1" customHeight="1" x14ac:dyDescent="0.3">
      <c r="B43" s="191"/>
      <c r="C43" s="196"/>
      <c r="D43" s="196"/>
      <c r="E43" s="197"/>
      <c r="F43" s="6"/>
      <c r="G43" s="101"/>
      <c r="H43" s="193" t="s">
        <v>87</v>
      </c>
      <c r="I43" s="194" t="s">
        <v>88</v>
      </c>
      <c r="J43" s="68"/>
      <c r="K43" s="68"/>
      <c r="L43" s="68"/>
      <c r="M43" s="68"/>
      <c r="N43" s="68"/>
      <c r="O43" s="198"/>
      <c r="P43" s="198"/>
      <c r="Q43" s="198"/>
      <c r="R43" s="7"/>
      <c r="U43" s="1"/>
      <c r="V43" s="1"/>
    </row>
    <row r="44" spans="1:22" ht="26.25" hidden="1" customHeight="1" x14ac:dyDescent="0.3">
      <c r="A44" s="8"/>
      <c r="B44" s="460"/>
      <c r="C44" s="706" t="s">
        <v>89</v>
      </c>
      <c r="D44" s="707"/>
      <c r="G44" s="68"/>
      <c r="H44" s="199"/>
      <c r="I44" s="68"/>
      <c r="J44" s="68"/>
      <c r="K44" s="68"/>
      <c r="L44" s="68"/>
      <c r="M44" s="68"/>
      <c r="N44" s="68"/>
      <c r="O44" s="1"/>
      <c r="P44" s="1"/>
      <c r="U44" s="1"/>
      <c r="V44" s="1"/>
    </row>
    <row r="45" spans="1:22" ht="12.75" hidden="1" customHeight="1" x14ac:dyDescent="0.3">
      <c r="A45" s="8"/>
      <c r="B45" s="460"/>
      <c r="C45" s="200">
        <f>(D7-C40)^2/C40</f>
        <v>2.0157070752863002</v>
      </c>
      <c r="D45" s="200">
        <f>(E7-D40)^2/D40</f>
        <v>3.8801722024712673E-2</v>
      </c>
      <c r="F45" s="201"/>
      <c r="G45" s="202"/>
      <c r="H45" s="68"/>
      <c r="I45" s="68"/>
      <c r="J45" s="77"/>
      <c r="K45" s="77"/>
      <c r="L45" s="630"/>
      <c r="M45" s="68"/>
      <c r="N45" s="68"/>
      <c r="O45" s="1"/>
      <c r="P45" s="1"/>
      <c r="U45" s="1"/>
      <c r="V45" s="1"/>
    </row>
    <row r="46" spans="1:22" ht="12.75" hidden="1" customHeight="1" x14ac:dyDescent="0.3">
      <c r="A46" s="8"/>
      <c r="B46" s="460"/>
      <c r="C46" s="200">
        <f>(D8-C41)^2/C41</f>
        <v>1.9977007589810132</v>
      </c>
      <c r="D46" s="200">
        <f>(E8-D41)^2/D41</f>
        <v>3.8455106145583721E-2</v>
      </c>
      <c r="E46" s="65"/>
      <c r="F46" s="203" t="s">
        <v>90</v>
      </c>
      <c r="G46" s="631">
        <f>C48-I40</f>
        <v>0.24920584174348637</v>
      </c>
      <c r="H46" s="68"/>
      <c r="I46" s="68"/>
      <c r="J46" s="77"/>
      <c r="K46" s="77"/>
      <c r="L46" s="68"/>
      <c r="M46" s="68"/>
      <c r="N46" s="68"/>
      <c r="O46" s="1"/>
      <c r="P46" s="1"/>
      <c r="U46" s="1"/>
      <c r="V46" s="1"/>
    </row>
    <row r="47" spans="1:22" ht="12.75" hidden="1" customHeight="1" x14ac:dyDescent="0.3">
      <c r="B47" s="194" t="s">
        <v>91</v>
      </c>
      <c r="D47" s="204"/>
      <c r="G47" s="205" t="s">
        <v>229</v>
      </c>
      <c r="H47" s="68"/>
      <c r="I47" s="68"/>
      <c r="J47" s="77"/>
      <c r="K47" s="77"/>
      <c r="L47" s="68"/>
      <c r="M47" s="68"/>
      <c r="N47" s="68"/>
      <c r="O47" s="1"/>
      <c r="P47" s="1"/>
      <c r="U47" s="1"/>
      <c r="V47" s="1"/>
    </row>
    <row r="48" spans="1:22" ht="13.5" hidden="1" customHeight="1" x14ac:dyDescent="0.3">
      <c r="B48" s="206" t="s">
        <v>92</v>
      </c>
      <c r="C48" s="207">
        <f>SUM(C45:D46)</f>
        <v>4.09066466243761</v>
      </c>
      <c r="D48" s="8"/>
      <c r="G48" s="205" t="s">
        <v>230</v>
      </c>
      <c r="H48" s="68"/>
      <c r="I48" s="208"/>
      <c r="J48" s="77"/>
      <c r="K48" s="77"/>
      <c r="L48" s="632"/>
      <c r="M48" s="68"/>
      <c r="N48" s="68"/>
      <c r="O48" s="1"/>
      <c r="P48" s="1"/>
      <c r="U48" s="1"/>
      <c r="V48" s="1"/>
    </row>
    <row r="49" spans="1:22" ht="12.75" hidden="1" customHeight="1" x14ac:dyDescent="0.3">
      <c r="B49" s="209" t="s">
        <v>93</v>
      </c>
      <c r="C49" s="210">
        <f>CHIDIST(C48,1)</f>
        <v>4.3120682054274641E-2</v>
      </c>
      <c r="E49" s="8"/>
      <c r="F49" s="8"/>
      <c r="G49" s="67"/>
      <c r="H49" s="211"/>
      <c r="I49" s="67"/>
      <c r="J49" s="77"/>
      <c r="K49" s="77"/>
      <c r="L49" s="67"/>
      <c r="M49" s="68"/>
      <c r="N49" s="68"/>
      <c r="O49" s="1"/>
      <c r="P49" s="1"/>
      <c r="U49" s="1"/>
      <c r="V49" s="1"/>
    </row>
    <row r="50" spans="1:22" s="7" customFormat="1" ht="12.75" hidden="1" customHeight="1" x14ac:dyDescent="0.3">
      <c r="B50" s="90"/>
      <c r="E50" s="212"/>
      <c r="F50" s="212"/>
      <c r="G50" s="77"/>
      <c r="H50" s="77"/>
      <c r="I50" s="213"/>
      <c r="J50" s="77"/>
      <c r="K50" s="77"/>
      <c r="L50" s="77"/>
      <c r="M50" s="77"/>
      <c r="N50" s="77"/>
    </row>
    <row r="51" spans="1:22" ht="13.5" hidden="1" customHeight="1" x14ac:dyDescent="0.3">
      <c r="B51" s="69"/>
      <c r="G51" s="68"/>
      <c r="H51" s="68"/>
      <c r="I51" s="68"/>
      <c r="J51" s="77"/>
      <c r="K51" s="77"/>
      <c r="L51" s="68"/>
      <c r="M51" s="68"/>
      <c r="N51" s="68"/>
      <c r="O51" s="8"/>
      <c r="P51" s="1"/>
      <c r="U51" s="1"/>
      <c r="V51" s="1"/>
    </row>
    <row r="52" spans="1:22" ht="12.75" hidden="1" customHeight="1" x14ac:dyDescent="0.3">
      <c r="B52" s="214" t="s">
        <v>94</v>
      </c>
      <c r="C52" s="215"/>
      <c r="D52" s="215"/>
      <c r="E52" s="215"/>
      <c r="F52" s="215"/>
      <c r="G52" s="215"/>
      <c r="H52" s="216"/>
      <c r="I52" s="68"/>
      <c r="J52" s="217" t="s">
        <v>231</v>
      </c>
      <c r="K52" s="633"/>
      <c r="L52" s="218"/>
      <c r="M52" s="218"/>
      <c r="N52" s="218"/>
      <c r="O52" s="8"/>
      <c r="P52" s="1"/>
      <c r="U52" s="1"/>
      <c r="V52" s="1"/>
    </row>
    <row r="53" spans="1:22" ht="12.75" hidden="1" customHeight="1" x14ac:dyDescent="0.3">
      <c r="B53" s="219">
        <f>I2*100</f>
        <v>95</v>
      </c>
      <c r="C53" s="171"/>
      <c r="D53" s="171"/>
      <c r="E53" s="7"/>
      <c r="F53" s="7"/>
      <c r="G53" s="7"/>
      <c r="H53" s="128"/>
      <c r="I53" s="68"/>
      <c r="J53" s="220"/>
      <c r="K53" s="77"/>
      <c r="L53" s="67"/>
      <c r="M53" s="67"/>
      <c r="N53" s="67"/>
      <c r="O53" s="8"/>
      <c r="P53" s="1"/>
      <c r="U53" s="1"/>
      <c r="V53" s="1"/>
    </row>
    <row r="54" spans="1:22" ht="12.75" hidden="1" customHeight="1" x14ac:dyDescent="0.3">
      <c r="B54" s="221" t="s">
        <v>95</v>
      </c>
      <c r="C54" s="222"/>
      <c r="D54" s="222"/>
      <c r="E54" s="223">
        <f>ROUND(G14,2)</f>
        <v>0.74</v>
      </c>
      <c r="F54" s="224">
        <f>ROUND(J26,4)</f>
        <v>1.35E-2</v>
      </c>
      <c r="G54" s="225">
        <f>ROUND(J27,0)</f>
        <v>74</v>
      </c>
      <c r="H54" s="226"/>
      <c r="I54" s="68"/>
      <c r="J54" s="227" t="s">
        <v>95</v>
      </c>
      <c r="K54" s="7"/>
      <c r="L54" s="7"/>
      <c r="M54" s="7"/>
      <c r="N54" s="67"/>
      <c r="O54" s="8"/>
      <c r="P54" s="1"/>
      <c r="U54" s="1"/>
      <c r="V54" s="1"/>
    </row>
    <row r="55" spans="1:22" ht="12.75" hidden="1" customHeight="1" x14ac:dyDescent="0.3">
      <c r="B55" s="221" t="s">
        <v>96</v>
      </c>
      <c r="C55" s="8"/>
      <c r="D55" s="8"/>
      <c r="E55" s="223">
        <f>ROUND(H14,2)</f>
        <v>0.56000000000000005</v>
      </c>
      <c r="F55" s="224">
        <f>ROUND(L26,4)</f>
        <v>5.0000000000000001E-4</v>
      </c>
      <c r="G55" s="225">
        <f>ROUND(L27,0)</f>
        <v>2207</v>
      </c>
      <c r="H55" s="226"/>
      <c r="I55" s="68"/>
      <c r="J55" s="227" t="s">
        <v>96</v>
      </c>
      <c r="K55" s="228" t="str">
        <f>ROUND(J21,4)*100&amp;J57</f>
        <v>3,91%</v>
      </c>
      <c r="L55" s="228" t="str">
        <f>ROUND(K21,4)*100&amp;J57</f>
        <v>3,14%</v>
      </c>
      <c r="M55" s="228" t="str">
        <f>ROUND(L21,4)*100&amp;J57</f>
        <v>4,85%</v>
      </c>
      <c r="N55" s="229" t="str">
        <f>CONCATENATE(K55," ",J54,L55," ",J58," ",M55,J56)</f>
        <v>3,91% (3,14% a 4,85%)</v>
      </c>
      <c r="O55" s="8"/>
      <c r="P55" s="1"/>
      <c r="U55" s="1"/>
      <c r="V55" s="1"/>
    </row>
    <row r="56" spans="1:22" s="6" customFormat="1" ht="12.75" hidden="1" customHeight="1" x14ac:dyDescent="0.3">
      <c r="B56" s="221" t="s">
        <v>97</v>
      </c>
      <c r="C56" s="222">
        <f>ROUND(D7,0)</f>
        <v>78</v>
      </c>
      <c r="D56" s="222">
        <f>ROUND(D8,0)</f>
        <v>106</v>
      </c>
      <c r="E56" s="223">
        <f>ROUND(I14,2)</f>
        <v>0.99</v>
      </c>
      <c r="F56" s="224">
        <f>ROUND(K26,4)</f>
        <v>2.6499999999999999E-2</v>
      </c>
      <c r="G56" s="225">
        <f>ROUND(K27,0)</f>
        <v>38</v>
      </c>
      <c r="H56" s="230">
        <f>ROUND(N32,4)</f>
        <v>0.53620000000000001</v>
      </c>
      <c r="I56" s="101"/>
      <c r="J56" s="227" t="s">
        <v>97</v>
      </c>
      <c r="K56" s="231" t="str">
        <f>ROUND(J22,4)*100&amp;J57</f>
        <v>5,26%</v>
      </c>
      <c r="L56" s="231" t="str">
        <f>ROUND(K22,4)*100&amp;J57</f>
        <v>4,37%</v>
      </c>
      <c r="M56" s="231" t="str">
        <f>ROUND(L22,4)*100&amp;J57</f>
        <v>6,32%</v>
      </c>
      <c r="N56" s="229" t="str">
        <f>CONCATENATE(K56," ",J54,L56," ",J58," ",M56,J56)</f>
        <v>5,26% (4,37% a 6,32%)</v>
      </c>
      <c r="O56" s="7"/>
    </row>
    <row r="57" spans="1:22" ht="12.75" hidden="1" customHeight="1" x14ac:dyDescent="0.3">
      <c r="B57" s="221" t="s">
        <v>98</v>
      </c>
      <c r="C57" s="232" t="s">
        <v>99</v>
      </c>
      <c r="D57" s="232" t="s">
        <v>100</v>
      </c>
      <c r="E57" s="232" t="s">
        <v>27</v>
      </c>
      <c r="F57" s="232" t="s">
        <v>101</v>
      </c>
      <c r="G57" s="233" t="s">
        <v>11</v>
      </c>
      <c r="H57" s="9" t="s">
        <v>102</v>
      </c>
      <c r="I57" s="68"/>
      <c r="J57" s="227" t="s">
        <v>98</v>
      </c>
      <c r="K57" s="231" t="str">
        <f>ROUND(J23,4)*100&amp;J57</f>
        <v>4,59%</v>
      </c>
      <c r="L57" s="231" t="str">
        <f>ROUND(K23,4)*100&amp;J57</f>
        <v>3,98%</v>
      </c>
      <c r="M57" s="231" t="str">
        <f>ROUND(L23,4)*100&amp;J57</f>
        <v>5,28%</v>
      </c>
      <c r="N57" s="229" t="str">
        <f>CONCATENATE(K57," ",J54,L57," ",J58," ",M57,J56)</f>
        <v>4,59% (3,98% a 5,28%)</v>
      </c>
      <c r="O57" s="7"/>
    </row>
    <row r="58" spans="1:22" ht="12.75" hidden="1" customHeight="1" x14ac:dyDescent="0.3">
      <c r="B58" s="234" t="s">
        <v>103</v>
      </c>
      <c r="C58" s="235" t="str">
        <f>CONCATENATE(C56,B59,C21," ",B54,K55,B56)</f>
        <v>78/1997 (3,91%)</v>
      </c>
      <c r="D58" s="61" t="str">
        <f>CONCATENATE(D56,B59,C22," ",B54,K56,B56)</f>
        <v>106/2015 (5,26%)</v>
      </c>
      <c r="E58" s="235" t="str">
        <f>CONCATENATE(E54," ",B54,E55,B55,E56,B56)</f>
        <v>0,74 (0,56-0,99)</v>
      </c>
      <c r="F58" s="235" t="str">
        <f>CONCATENATE(F54*100,B57," ",B54,F55*100,B57," ",B58," ",F56*100,B57,B56)</f>
        <v>1,35% (0,05% a 2,65%)</v>
      </c>
      <c r="G58" s="9" t="str">
        <f>CONCATENATE(G54," ",B54,G56," ",B58," ",G55,B56)</f>
        <v>74 (38 a 2207)</v>
      </c>
      <c r="H58" s="9" t="str">
        <f>CONCATENATE(H56*100,B57)</f>
        <v>53,62%</v>
      </c>
      <c r="I58" s="68"/>
      <c r="J58" s="236" t="s">
        <v>103</v>
      </c>
      <c r="K58" s="8"/>
      <c r="L58" s="8"/>
      <c r="M58" s="8"/>
      <c r="N58" s="67"/>
      <c r="O58" s="8"/>
      <c r="P58" s="1"/>
      <c r="U58" s="1"/>
      <c r="V58" s="1"/>
    </row>
    <row r="59" spans="1:22" ht="13.5" hidden="1" customHeight="1" x14ac:dyDescent="0.3">
      <c r="B59" s="237" t="s">
        <v>104</v>
      </c>
      <c r="C59" s="149"/>
      <c r="D59" s="149"/>
      <c r="E59" s="149"/>
      <c r="F59" s="149"/>
      <c r="G59" s="238"/>
      <c r="H59" s="239"/>
      <c r="I59" s="68"/>
      <c r="J59" s="240" t="s">
        <v>104</v>
      </c>
      <c r="K59" s="149"/>
      <c r="L59" s="149"/>
      <c r="M59" s="149"/>
      <c r="N59" s="241"/>
      <c r="O59" s="8"/>
      <c r="P59" s="1"/>
      <c r="U59" s="1"/>
      <c r="V59" s="1"/>
    </row>
    <row r="60" spans="1:22" x14ac:dyDescent="0.3">
      <c r="B60" s="69"/>
      <c r="G60" s="68"/>
      <c r="H60" s="68"/>
      <c r="I60" s="68"/>
      <c r="J60" s="68"/>
      <c r="K60" s="68"/>
      <c r="L60" s="77"/>
      <c r="M60" s="68"/>
      <c r="N60" s="68"/>
      <c r="O60" s="1"/>
      <c r="P60" s="1"/>
      <c r="U60" s="1"/>
      <c r="V60" s="1"/>
    </row>
    <row r="61" spans="1:22" ht="27" customHeight="1" x14ac:dyDescent="0.3">
      <c r="B61" s="634"/>
      <c r="C61" s="242" t="s">
        <v>99</v>
      </c>
      <c r="D61" s="242" t="s">
        <v>100</v>
      </c>
      <c r="E61" s="243" t="str">
        <f>CONCATENATE(E57," ",B54,H2," ",B53,B57,B56)</f>
        <v>RR (IC 95%)</v>
      </c>
      <c r="F61" s="243" t="str">
        <f>CONCATENATE(F57," ",B54,H2," ",B53,B57,B56)</f>
        <v>RAR (IC 95%)</v>
      </c>
      <c r="G61" s="243" t="str">
        <f>CONCATENATE(G57," ",B54,H2," ",B53,B57,B56)</f>
        <v>NNT (IC 95%)</v>
      </c>
      <c r="H61" s="635" t="s">
        <v>69</v>
      </c>
      <c r="I61" s="244"/>
      <c r="J61" s="271" t="s">
        <v>115</v>
      </c>
      <c r="L61" s="271" t="s">
        <v>106</v>
      </c>
      <c r="M61" s="271" t="s">
        <v>107</v>
      </c>
      <c r="O61" s="243" t="s">
        <v>130</v>
      </c>
      <c r="P61" s="243" t="s">
        <v>107</v>
      </c>
      <c r="R61" s="636" t="s">
        <v>2</v>
      </c>
      <c r="S61" s="637" t="s">
        <v>3</v>
      </c>
      <c r="T61" s="638" t="s">
        <v>1</v>
      </c>
      <c r="U61" s="639" t="s">
        <v>127</v>
      </c>
      <c r="V61" s="1"/>
    </row>
    <row r="62" spans="1:22" ht="21" customHeight="1" x14ac:dyDescent="0.3">
      <c r="B62" s="634"/>
      <c r="C62" s="61" t="str">
        <f t="shared" ref="C62:H62" si="2">C58</f>
        <v>78/1997 (3,91%)</v>
      </c>
      <c r="D62" s="61" t="str">
        <f t="shared" si="2"/>
        <v>106/2015 (5,26%)</v>
      </c>
      <c r="E62" s="61" t="str">
        <f t="shared" si="2"/>
        <v>0,74 (0,56-0,99)</v>
      </c>
      <c r="F62" s="61" t="str">
        <f t="shared" si="2"/>
        <v>1,35% (0,05% a 2,65%)</v>
      </c>
      <c r="G62" s="61" t="str">
        <f t="shared" si="2"/>
        <v>74 (38 a 2207)</v>
      </c>
      <c r="H62" s="61" t="str">
        <f t="shared" si="2"/>
        <v>53,62%</v>
      </c>
      <c r="I62" s="245"/>
      <c r="J62" s="246">
        <f>C49</f>
        <v>4.3120682054274641E-2</v>
      </c>
      <c r="L62" s="247">
        <f>IF((K26*L26&lt;0),J23,J21)</f>
        <v>3.9058587881822732E-2</v>
      </c>
      <c r="M62" s="247">
        <f>IF((K26*L26&lt;0),J23,J22)</f>
        <v>5.2605459057071959E-2</v>
      </c>
      <c r="O62" s="473">
        <f>L62*100</f>
        <v>3.9058587881822731</v>
      </c>
      <c r="P62" s="473">
        <f>M62*100</f>
        <v>5.2605459057071959</v>
      </c>
      <c r="R62" s="474">
        <f>Q14</f>
        <v>40.895285359801491</v>
      </c>
      <c r="S62" s="475">
        <f>R14</f>
        <v>0.28448429468023373</v>
      </c>
      <c r="T62" s="476">
        <f>S14</f>
        <v>0.82023034551827734</v>
      </c>
      <c r="U62" s="640">
        <f>R62+S62+T62</f>
        <v>42</v>
      </c>
      <c r="V62" s="205" t="str">
        <f>I4</f>
        <v>meses</v>
      </c>
    </row>
    <row r="63" spans="1:22" x14ac:dyDescent="0.3">
      <c r="B63" s="69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48"/>
    </row>
    <row r="64" spans="1:22" x14ac:dyDescent="0.3">
      <c r="A64" s="405"/>
      <c r="B64" s="532" t="s">
        <v>232</v>
      </c>
      <c r="C64" s="249"/>
      <c r="D64" s="249"/>
      <c r="E64" s="249"/>
      <c r="F64" s="249"/>
      <c r="G64" s="249"/>
      <c r="H64" s="249"/>
      <c r="I64" s="641"/>
      <c r="J64" s="250"/>
      <c r="K64" s="205"/>
      <c r="L64" s="205"/>
      <c r="M64" s="205"/>
      <c r="N64" s="205"/>
      <c r="O64" s="248"/>
    </row>
    <row r="65" spans="1:22" ht="18" customHeight="1" thickBot="1" x14ac:dyDescent="0.35">
      <c r="A65" s="405"/>
      <c r="B65" s="642" t="s">
        <v>233</v>
      </c>
      <c r="C65" s="249"/>
      <c r="D65" s="249"/>
      <c r="E65" s="249"/>
      <c r="F65" s="249"/>
      <c r="G65" s="249"/>
      <c r="H65" s="249"/>
      <c r="I65" s="641"/>
      <c r="J65" s="250"/>
      <c r="K65" s="205"/>
      <c r="L65" s="205"/>
      <c r="M65" s="205"/>
      <c r="N65" s="205"/>
      <c r="O65" s="248"/>
    </row>
    <row r="66" spans="1:22" ht="50" customHeight="1" thickBot="1" x14ac:dyDescent="0.35">
      <c r="A66" s="405"/>
      <c r="B66" s="708" t="s">
        <v>234</v>
      </c>
      <c r="C66" s="709"/>
      <c r="D66" s="709"/>
      <c r="E66" s="709"/>
      <c r="F66" s="709"/>
      <c r="G66" s="709"/>
      <c r="H66" s="710"/>
      <c r="I66" s="405"/>
      <c r="J66" s="405"/>
      <c r="K66" s="405"/>
      <c r="L66" s="405"/>
      <c r="M66" s="405"/>
      <c r="N66" s="405"/>
      <c r="O66" s="711" t="s">
        <v>147</v>
      </c>
      <c r="P66" s="712"/>
      <c r="Q66" s="405"/>
      <c r="R66" s="697" t="s">
        <v>235</v>
      </c>
      <c r="S66" s="698"/>
      <c r="T66" s="698"/>
      <c r="U66" s="699"/>
      <c r="V66" s="405"/>
    </row>
    <row r="67" spans="1:22" ht="47.5" customHeight="1" thickBot="1" x14ac:dyDescent="0.35">
      <c r="A67" s="405"/>
      <c r="B67" s="718" t="s">
        <v>236</v>
      </c>
      <c r="C67" s="643" t="s">
        <v>237</v>
      </c>
      <c r="D67" s="644" t="s">
        <v>238</v>
      </c>
      <c r="E67" s="720" t="s">
        <v>166</v>
      </c>
      <c r="F67" s="721"/>
      <c r="G67" s="721"/>
      <c r="H67" s="722"/>
      <c r="I67" s="405"/>
      <c r="J67" s="405"/>
      <c r="K67" s="405"/>
      <c r="L67" s="405"/>
      <c r="M67" s="405"/>
      <c r="N67" s="405"/>
      <c r="O67" s="723" t="s">
        <v>239</v>
      </c>
      <c r="P67" s="724"/>
      <c r="Q67" s="405"/>
      <c r="R67" s="725" t="s">
        <v>125</v>
      </c>
      <c r="S67" s="727" t="s">
        <v>126</v>
      </c>
      <c r="T67" s="729" t="s">
        <v>169</v>
      </c>
      <c r="U67" s="713" t="s">
        <v>128</v>
      </c>
      <c r="V67" s="405"/>
    </row>
    <row r="68" spans="1:22" ht="40.5" customHeight="1" thickBot="1" x14ac:dyDescent="0.35">
      <c r="A68" s="405"/>
      <c r="B68" s="719"/>
      <c r="C68" s="645" t="s">
        <v>148</v>
      </c>
      <c r="D68" s="646" t="s">
        <v>148</v>
      </c>
      <c r="E68" s="647" t="s">
        <v>119</v>
      </c>
      <c r="F68" s="648" t="s">
        <v>120</v>
      </c>
      <c r="G68" s="648" t="s">
        <v>121</v>
      </c>
      <c r="H68" s="649" t="s">
        <v>105</v>
      </c>
      <c r="I68" s="405"/>
      <c r="J68" s="406" t="s">
        <v>149</v>
      </c>
      <c r="L68" s="80" t="s">
        <v>106</v>
      </c>
      <c r="M68" s="80" t="s">
        <v>107</v>
      </c>
      <c r="N68" s="405"/>
      <c r="O68" s="650" t="s">
        <v>218</v>
      </c>
      <c r="P68" s="651" t="s">
        <v>219</v>
      </c>
      <c r="Q68" s="405"/>
      <c r="R68" s="726"/>
      <c r="S68" s="728"/>
      <c r="T68" s="730"/>
      <c r="U68" s="714"/>
      <c r="V68" s="405"/>
    </row>
    <row r="69" spans="1:22" ht="23.5" customHeight="1" x14ac:dyDescent="0.3">
      <c r="A69" s="405"/>
      <c r="B69" s="652" t="s">
        <v>167</v>
      </c>
      <c r="C69" s="286"/>
      <c r="D69" s="286"/>
      <c r="E69" s="287"/>
      <c r="F69" s="287"/>
      <c r="G69" s="287"/>
      <c r="H69" s="287"/>
      <c r="I69" s="653"/>
      <c r="J69" s="654"/>
      <c r="K69" s="655"/>
      <c r="L69" s="655"/>
      <c r="M69" s="655"/>
      <c r="N69" s="655"/>
      <c r="O69" s="655"/>
      <c r="P69" s="655"/>
      <c r="Q69" s="405"/>
      <c r="R69" s="405"/>
      <c r="S69" s="405"/>
      <c r="T69" s="405"/>
      <c r="U69" s="405"/>
      <c r="V69" s="405"/>
    </row>
    <row r="70" spans="1:22" ht="26" customHeight="1" x14ac:dyDescent="0.3">
      <c r="A70" s="405"/>
      <c r="B70" s="656" t="s">
        <v>240</v>
      </c>
      <c r="C70" s="657" t="s">
        <v>241</v>
      </c>
      <c r="D70" s="657" t="s">
        <v>242</v>
      </c>
      <c r="E70" s="657" t="s">
        <v>243</v>
      </c>
      <c r="F70" s="658" t="s">
        <v>244</v>
      </c>
      <c r="G70" s="657" t="s">
        <v>245</v>
      </c>
      <c r="H70" s="659">
        <v>4.6300000000000001E-2</v>
      </c>
      <c r="I70" s="660"/>
      <c r="J70" s="661">
        <v>0.78060336931932994</v>
      </c>
      <c r="K70" s="662"/>
      <c r="L70" s="663">
        <v>5.3090727816550352E-2</v>
      </c>
      <c r="M70" s="663">
        <v>5.3090727816550352E-2</v>
      </c>
      <c r="N70" s="664"/>
      <c r="O70" s="665">
        <v>5.3090727816550354</v>
      </c>
      <c r="P70" s="665">
        <v>5.3090727816550354</v>
      </c>
      <c r="Q70" s="405"/>
      <c r="R70" s="501">
        <v>40.822885693304222</v>
      </c>
      <c r="S70" s="665">
        <v>4.1410751362776166E-2</v>
      </c>
      <c r="T70" s="447">
        <v>1.1357035553329995</v>
      </c>
      <c r="U70" s="503">
        <v>42</v>
      </c>
      <c r="V70" s="448" t="s">
        <v>111</v>
      </c>
    </row>
    <row r="71" spans="1:22" ht="5" customHeight="1" x14ac:dyDescent="0.3">
      <c r="A71" s="405"/>
      <c r="B71" s="290"/>
      <c r="C71" s="655"/>
      <c r="D71" s="655"/>
      <c r="E71" s="655"/>
      <c r="F71" s="655"/>
      <c r="G71" s="655"/>
      <c r="H71" s="666"/>
      <c r="I71" s="660"/>
      <c r="J71" s="667"/>
      <c r="K71" s="279"/>
      <c r="L71" s="668"/>
      <c r="M71" s="668"/>
      <c r="N71" s="279"/>
      <c r="O71" s="669"/>
      <c r="P71" s="669"/>
      <c r="Q71" s="405"/>
      <c r="R71" s="405"/>
      <c r="S71" s="405"/>
      <c r="T71" s="405"/>
      <c r="U71" s="405"/>
      <c r="V71" s="279"/>
    </row>
    <row r="72" spans="1:22" ht="26" customHeight="1" x14ac:dyDescent="0.3">
      <c r="A72" s="405"/>
      <c r="B72" s="656" t="s">
        <v>246</v>
      </c>
      <c r="C72" s="657" t="s">
        <v>247</v>
      </c>
      <c r="D72" s="657" t="s">
        <v>248</v>
      </c>
      <c r="E72" s="657" t="s">
        <v>249</v>
      </c>
      <c r="F72" s="658" t="s">
        <v>250</v>
      </c>
      <c r="G72" s="657" t="s">
        <v>251</v>
      </c>
      <c r="H72" s="659">
        <v>7.1800000000000003E-2</v>
      </c>
      <c r="I72" s="660"/>
      <c r="J72" s="661">
        <v>0.61890793170989267</v>
      </c>
      <c r="K72" s="662"/>
      <c r="L72" s="663">
        <v>1.9441674975074777E-2</v>
      </c>
      <c r="M72" s="663">
        <v>1.9441674975074777E-2</v>
      </c>
      <c r="N72" s="664"/>
      <c r="O72" s="665">
        <v>1.9441674975074776</v>
      </c>
      <c r="P72" s="665">
        <v>1.9441674975074776</v>
      </c>
      <c r="Q72" s="405"/>
      <c r="R72" s="501">
        <v>41.523314500286411</v>
      </c>
      <c r="S72" s="665">
        <v>4.5538779633470083E-2</v>
      </c>
      <c r="T72" s="447">
        <v>0.43114672008012017</v>
      </c>
      <c r="U72" s="503">
        <v>42</v>
      </c>
      <c r="V72" s="448" t="s">
        <v>111</v>
      </c>
    </row>
    <row r="73" spans="1:22" ht="5" customHeight="1" x14ac:dyDescent="0.3">
      <c r="A73" s="405"/>
      <c r="B73" s="290"/>
      <c r="C73" s="655"/>
      <c r="D73" s="655"/>
      <c r="E73" s="655"/>
      <c r="F73" s="655"/>
      <c r="G73" s="655"/>
      <c r="H73" s="666"/>
      <c r="I73" s="660"/>
      <c r="J73" s="667"/>
      <c r="K73" s="279"/>
      <c r="L73" s="668"/>
      <c r="M73" s="668"/>
      <c r="N73" s="279"/>
      <c r="O73" s="669"/>
      <c r="P73" s="669"/>
      <c r="Q73" s="405"/>
      <c r="R73" s="405"/>
      <c r="S73" s="405"/>
      <c r="T73" s="405"/>
      <c r="U73" s="405"/>
      <c r="V73" s="279"/>
    </row>
    <row r="74" spans="1:22" ht="26.5" customHeight="1" x14ac:dyDescent="0.3">
      <c r="A74" s="405"/>
      <c r="B74" s="656" t="s">
        <v>252</v>
      </c>
      <c r="C74" s="657" t="s">
        <v>253</v>
      </c>
      <c r="D74" s="657" t="s">
        <v>254</v>
      </c>
      <c r="E74" s="657" t="s">
        <v>255</v>
      </c>
      <c r="F74" s="658" t="s">
        <v>256</v>
      </c>
      <c r="G74" s="491" t="s">
        <v>257</v>
      </c>
      <c r="H74" s="659">
        <v>0.72489999999999999</v>
      </c>
      <c r="I74" s="660"/>
      <c r="J74" s="661">
        <v>1.0546986340079169E-2</v>
      </c>
      <c r="K74" s="662"/>
      <c r="L74" s="663">
        <v>2.729528535980149E-2</v>
      </c>
      <c r="M74" s="663">
        <v>4.2063094641962943E-2</v>
      </c>
      <c r="N74" s="664"/>
      <c r="O74" s="670">
        <v>2.7295285359801489</v>
      </c>
      <c r="P74" s="447">
        <v>4.2063094641962939</v>
      </c>
      <c r="Q74" s="405"/>
      <c r="R74" s="501">
        <v>40.806551017593385</v>
      </c>
      <c r="S74" s="502">
        <v>0.31012399492539056</v>
      </c>
      <c r="T74" s="447">
        <v>0.88332498748122179</v>
      </c>
      <c r="U74" s="503">
        <v>42</v>
      </c>
      <c r="V74" s="448" t="s">
        <v>111</v>
      </c>
    </row>
    <row r="75" spans="1:22" ht="10" customHeight="1" x14ac:dyDescent="0.3">
      <c r="A75" s="405"/>
      <c r="B75" s="671"/>
      <c r="C75" s="655"/>
      <c r="D75" s="655"/>
      <c r="E75" s="655"/>
      <c r="F75" s="655"/>
      <c r="G75" s="672"/>
      <c r="H75" s="666"/>
      <c r="I75" s="660"/>
      <c r="J75" s="667"/>
      <c r="K75" s="279"/>
      <c r="L75" s="668"/>
      <c r="M75" s="668"/>
      <c r="N75" s="279"/>
      <c r="O75" s="673"/>
      <c r="P75" s="674"/>
      <c r="Q75" s="405"/>
      <c r="R75" s="675"/>
      <c r="S75" s="676"/>
      <c r="T75" s="677"/>
      <c r="U75" s="678"/>
      <c r="V75" s="279"/>
    </row>
    <row r="76" spans="1:22" ht="19.5" customHeight="1" x14ac:dyDescent="0.3">
      <c r="A76" s="405"/>
      <c r="B76" s="715" t="s">
        <v>258</v>
      </c>
      <c r="C76" s="716"/>
      <c r="D76" s="716"/>
      <c r="E76" s="716"/>
      <c r="F76" s="716"/>
      <c r="G76" s="716"/>
      <c r="H76" s="716"/>
      <c r="I76" s="716"/>
      <c r="J76" s="716"/>
      <c r="K76" s="716"/>
      <c r="L76" s="716"/>
      <c r="M76" s="716"/>
      <c r="N76" s="716"/>
      <c r="O76" s="716"/>
      <c r="P76" s="717"/>
      <c r="Q76" s="653"/>
      <c r="R76" s="653"/>
      <c r="S76" s="653"/>
      <c r="T76" s="653"/>
      <c r="U76" s="653"/>
      <c r="V76" s="653"/>
    </row>
    <row r="77" spans="1:22" ht="12" customHeight="1" x14ac:dyDescent="0.3">
      <c r="A77" s="405"/>
      <c r="B77" s="290"/>
      <c r="C77" s="655"/>
      <c r="D77" s="655"/>
      <c r="E77" s="655"/>
      <c r="F77" s="655"/>
      <c r="G77" s="672"/>
      <c r="H77" s="666"/>
      <c r="I77" s="653"/>
      <c r="J77" s="667"/>
      <c r="K77" s="279"/>
      <c r="L77" s="668"/>
      <c r="M77" s="668"/>
      <c r="N77" s="279"/>
      <c r="O77" s="673"/>
      <c r="P77" s="674"/>
      <c r="U77" s="1"/>
      <c r="V77" s="248"/>
    </row>
  </sheetData>
  <mergeCells count="14">
    <mergeCell ref="U67:U68"/>
    <mergeCell ref="B76:P76"/>
    <mergeCell ref="B67:B68"/>
    <mergeCell ref="E67:H67"/>
    <mergeCell ref="O67:P67"/>
    <mergeCell ref="R67:R68"/>
    <mergeCell ref="S67:S68"/>
    <mergeCell ref="T67:T68"/>
    <mergeCell ref="R66:U66"/>
    <mergeCell ref="B2:F2"/>
    <mergeCell ref="B3:F3"/>
    <mergeCell ref="C44:D44"/>
    <mergeCell ref="B66:H66"/>
    <mergeCell ref="O66:P6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C4DA-9FE0-4ADF-BA71-772A0E829693}">
  <dimension ref="A1:CY91"/>
  <sheetViews>
    <sheetView topLeftCell="A3" zoomScale="70" zoomScaleNormal="70" workbookViewId="0">
      <selection activeCell="B3" sqref="B3"/>
    </sheetView>
  </sheetViews>
  <sheetFormatPr baseColWidth="10" defaultRowHeight="14.5" x14ac:dyDescent="0.35"/>
  <cols>
    <col min="1" max="1" width="0.6328125" customWidth="1"/>
    <col min="2" max="2" width="15.36328125" customWidth="1"/>
    <col min="4" max="5" width="10.54296875" customWidth="1"/>
    <col min="6" max="6" width="5.81640625" customWidth="1"/>
    <col min="7" max="7" width="5.1796875" customWidth="1"/>
    <col min="8" max="49" width="2" customWidth="1"/>
    <col min="50" max="50" width="5.26953125" customWidth="1"/>
    <col min="51" max="51" width="4.81640625" customWidth="1"/>
    <col min="52" max="52" width="5" customWidth="1"/>
    <col min="53" max="94" width="2" customWidth="1"/>
    <col min="95" max="95" width="5.54296875" customWidth="1"/>
    <col min="96" max="96" width="3.7265625" style="20" customWidth="1"/>
    <col min="97" max="97" width="1.1796875" style="20" customWidth="1"/>
    <col min="98" max="103" width="3.7265625" style="20" customWidth="1"/>
    <col min="111" max="111" width="2.54296875" customWidth="1"/>
  </cols>
  <sheetData>
    <row r="1" spans="1:101" hidden="1" x14ac:dyDescent="0.35">
      <c r="B1" s="19" t="str">
        <f>C8</f>
        <v>meses</v>
      </c>
      <c r="C1" s="19" t="s">
        <v>4</v>
      </c>
      <c r="D1" s="19" t="s">
        <v>5</v>
      </c>
      <c r="E1" s="19" t="s">
        <v>6</v>
      </c>
      <c r="F1" s="19"/>
      <c r="G1" s="19"/>
      <c r="CR1"/>
      <c r="CS1"/>
      <c r="CT1"/>
      <c r="CU1"/>
    </row>
    <row r="2" spans="1:101" hidden="1" x14ac:dyDescent="0.35">
      <c r="B2" s="19" t="s">
        <v>7</v>
      </c>
      <c r="C2" s="19" t="s">
        <v>8</v>
      </c>
      <c r="D2" s="19" t="s">
        <v>9</v>
      </c>
      <c r="E2" s="19" t="s">
        <v>10</v>
      </c>
      <c r="F2" s="19" t="str">
        <f>CONCATENATE(C2," ",C6," ",D2," ",C12," ",C8)</f>
        <v>puede representarse llegando los 68 pacientes, a los 42 meses</v>
      </c>
      <c r="G2" s="19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CR2"/>
      <c r="CS2"/>
      <c r="CT2"/>
      <c r="CU2"/>
    </row>
    <row r="3" spans="1:101" ht="5" customHeight="1" thickBot="1" x14ac:dyDescent="0.4">
      <c r="A3" s="526"/>
      <c r="B3" s="526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79"/>
      <c r="AK3" s="679"/>
      <c r="AL3" s="679"/>
      <c r="AM3" s="679"/>
      <c r="AN3" s="679"/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  <c r="BB3" s="679"/>
      <c r="BC3" s="679"/>
      <c r="BD3" s="679"/>
      <c r="BE3" s="679"/>
      <c r="BF3" s="679"/>
      <c r="BG3" s="679"/>
      <c r="BH3" s="679"/>
      <c r="BI3" s="679"/>
      <c r="BJ3" s="679"/>
      <c r="BK3" s="679"/>
      <c r="BL3" s="679"/>
      <c r="BM3" s="679"/>
      <c r="BN3" s="679"/>
      <c r="BO3" s="679"/>
      <c r="BP3" s="679"/>
      <c r="BQ3" s="679"/>
      <c r="BR3" s="679"/>
      <c r="BS3" s="679"/>
      <c r="BT3" s="679"/>
      <c r="BU3" s="679"/>
      <c r="BV3" s="679"/>
      <c r="BW3" s="679"/>
      <c r="BX3" s="679"/>
      <c r="BY3" s="679"/>
      <c r="BZ3" s="679"/>
      <c r="CA3" s="679"/>
      <c r="CB3" s="679"/>
      <c r="CC3" s="679"/>
      <c r="CD3" s="679"/>
      <c r="CE3" s="679"/>
      <c r="CF3" s="679"/>
      <c r="CG3" s="679"/>
      <c r="CH3" s="679"/>
      <c r="CI3" s="679"/>
      <c r="CJ3" s="679"/>
      <c r="CK3" s="679"/>
      <c r="CL3" s="679"/>
      <c r="CM3" s="679"/>
      <c r="CN3" s="679"/>
      <c r="CO3" s="679"/>
      <c r="CP3" s="679"/>
      <c r="CQ3" s="679"/>
      <c r="CR3" s="679"/>
      <c r="CS3" s="526"/>
      <c r="CT3"/>
      <c r="CU3"/>
    </row>
    <row r="4" spans="1:101" ht="51.5" customHeight="1" thickBot="1" x14ac:dyDescent="0.4">
      <c r="A4" s="526"/>
      <c r="B4" s="731" t="s">
        <v>262</v>
      </c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32"/>
      <c r="BG4" s="732"/>
      <c r="BH4" s="732"/>
      <c r="BI4" s="732"/>
      <c r="BJ4" s="732"/>
      <c r="BK4" s="732"/>
      <c r="BL4" s="732"/>
      <c r="BM4" s="732"/>
      <c r="BN4" s="732"/>
      <c r="BO4" s="732"/>
      <c r="BP4" s="732"/>
      <c r="BQ4" s="732"/>
      <c r="BR4" s="732"/>
      <c r="BS4" s="732"/>
      <c r="BT4" s="732"/>
      <c r="BU4" s="732"/>
      <c r="BV4" s="732"/>
      <c r="BW4" s="732"/>
      <c r="BX4" s="732"/>
      <c r="BY4" s="732"/>
      <c r="BZ4" s="732"/>
      <c r="CA4" s="732"/>
      <c r="CB4" s="732"/>
      <c r="CC4" s="732"/>
      <c r="CD4" s="732"/>
      <c r="CE4" s="732"/>
      <c r="CF4" s="732"/>
      <c r="CG4" s="732"/>
      <c r="CH4" s="732"/>
      <c r="CI4" s="732"/>
      <c r="CJ4" s="732"/>
      <c r="CK4" s="732"/>
      <c r="CL4" s="732"/>
      <c r="CM4" s="732"/>
      <c r="CN4" s="732"/>
      <c r="CO4" s="732"/>
      <c r="CP4" s="732"/>
      <c r="CQ4" s="732"/>
      <c r="CR4" s="733"/>
      <c r="CS4" s="526"/>
      <c r="CT4"/>
      <c r="CU4"/>
    </row>
    <row r="5" spans="1:101" ht="6.5" customHeight="1" x14ac:dyDescent="0.35">
      <c r="A5" s="526"/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  <c r="AY5" s="529"/>
      <c r="AZ5" s="529"/>
      <c r="BA5" s="529"/>
      <c r="BB5" s="529"/>
      <c r="BC5" s="529"/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6"/>
      <c r="CT5"/>
      <c r="CU5"/>
    </row>
    <row r="6" spans="1:101" ht="31.5" customHeight="1" x14ac:dyDescent="0.35">
      <c r="B6" s="530" t="s">
        <v>164</v>
      </c>
      <c r="C6" s="23">
        <f>D6+E6+F6</f>
        <v>68</v>
      </c>
      <c r="D6" s="531">
        <v>2</v>
      </c>
      <c r="E6" s="24">
        <v>1</v>
      </c>
      <c r="F6" s="25">
        <v>65</v>
      </c>
      <c r="H6" s="22"/>
      <c r="I6" s="532" t="s">
        <v>232</v>
      </c>
      <c r="J6" s="22"/>
      <c r="K6" s="409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CR6"/>
      <c r="CS6"/>
      <c r="CT6"/>
      <c r="CU6"/>
    </row>
    <row r="7" spans="1:101" ht="15" customHeight="1" x14ac:dyDescent="0.35">
      <c r="B7" s="22"/>
      <c r="C7" s="533">
        <f>D9/D6</f>
        <v>30.033049574361542</v>
      </c>
      <c r="D7" s="534">
        <f>D6*30</f>
        <v>60</v>
      </c>
      <c r="E7" s="535">
        <f>E9/(D6+E6)</f>
        <v>27.051510267883213</v>
      </c>
      <c r="F7" s="536">
        <f>(D6+E6)*23</f>
        <v>69</v>
      </c>
      <c r="G7" s="22"/>
      <c r="H7" s="22"/>
      <c r="I7" s="453" t="s">
        <v>233</v>
      </c>
      <c r="J7" s="22"/>
      <c r="K7" s="408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CR7"/>
      <c r="CS7"/>
      <c r="CT7"/>
      <c r="CU7"/>
    </row>
    <row r="8" spans="1:101" ht="39.75" customHeight="1" x14ac:dyDescent="0.35">
      <c r="B8" s="449" t="s">
        <v>165</v>
      </c>
      <c r="C8" s="28" t="s">
        <v>111</v>
      </c>
      <c r="D8" s="29" t="str">
        <f>CONCATENATE(B1," ",C1," ",C6," ",D1)</f>
        <v>meses de los 68 del grupo Interv</v>
      </c>
      <c r="E8" s="29" t="str">
        <f>CONCATENATE(B1," ",C1," ",C6," ",E1)</f>
        <v>meses de los 68 del grupo Contr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CR8"/>
      <c r="CS8"/>
      <c r="CT8"/>
      <c r="CU8"/>
    </row>
    <row r="9" spans="1:101" ht="21" customHeight="1" x14ac:dyDescent="0.35">
      <c r="B9" s="680" t="s">
        <v>1</v>
      </c>
      <c r="C9" s="31">
        <v>0.88332498748122179</v>
      </c>
      <c r="D9" s="32">
        <f>C9*C6</f>
        <v>60.066099148723083</v>
      </c>
      <c r="E9" s="734">
        <f>(C9+C10)*C6</f>
        <v>81.154530803649635</v>
      </c>
      <c r="F9" s="33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22"/>
      <c r="AY9" s="22"/>
      <c r="AZ9" s="22"/>
      <c r="CR9"/>
      <c r="CS9"/>
      <c r="CT9"/>
      <c r="CU9"/>
    </row>
    <row r="10" spans="1:101" ht="26" x14ac:dyDescent="0.35">
      <c r="B10" s="681" t="s">
        <v>3</v>
      </c>
      <c r="C10" s="36">
        <v>0.31012399492539056</v>
      </c>
      <c r="D10" s="735">
        <f>(C11+C10)*C6</f>
        <v>2795.9339008512766</v>
      </c>
      <c r="E10" s="734"/>
      <c r="F10" s="27"/>
      <c r="G10" s="53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22"/>
      <c r="AY10" s="22"/>
      <c r="AZ10" s="22"/>
      <c r="CR10"/>
      <c r="CS10"/>
      <c r="CT10"/>
      <c r="CU10"/>
    </row>
    <row r="11" spans="1:101" ht="26" x14ac:dyDescent="0.35">
      <c r="B11" s="682" t="s">
        <v>2</v>
      </c>
      <c r="C11" s="39">
        <v>40.806551017593385</v>
      </c>
      <c r="D11" s="735"/>
      <c r="E11" s="40">
        <f>C11*C6</f>
        <v>2774.8454691963502</v>
      </c>
      <c r="F11" s="2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</row>
    <row r="12" spans="1:101" x14ac:dyDescent="0.35">
      <c r="B12" s="2"/>
      <c r="C12" s="42">
        <v>42</v>
      </c>
      <c r="D12" s="43">
        <f>D9+D10</f>
        <v>2855.9999999999995</v>
      </c>
      <c r="E12" s="43">
        <f>E9+E11</f>
        <v>2856</v>
      </c>
      <c r="F12" s="44"/>
      <c r="G12" s="44"/>
      <c r="H12" s="683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</row>
    <row r="13" spans="1:101" ht="9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</row>
    <row r="14" spans="1:101" x14ac:dyDescent="0.35">
      <c r="B14" s="22"/>
      <c r="C14" s="22"/>
      <c r="D14" s="22"/>
      <c r="E14" s="22"/>
      <c r="F14" s="22"/>
      <c r="G14" s="45" t="s">
        <v>12</v>
      </c>
      <c r="H14" s="22"/>
      <c r="I14" s="22"/>
      <c r="J14" s="22"/>
      <c r="K14" s="22"/>
      <c r="L14" s="22"/>
      <c r="M14" s="22"/>
      <c r="N14" s="22"/>
      <c r="O14" s="22"/>
      <c r="P14" s="22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</row>
    <row r="15" spans="1:101" ht="36" customHeight="1" x14ac:dyDescent="0.35">
      <c r="B15" s="22"/>
      <c r="C15" s="22"/>
      <c r="D15" s="22"/>
      <c r="E15" s="22"/>
      <c r="G15" s="736" t="str">
        <f>IF((AND(((C10+C11)/C12)&gt;((E6+F6)/C6),(C11/C12)&gt;(F6/C6))),F2,#REF!)</f>
        <v>puede representarse llegando los 68 pacientes, a los 42 meses</v>
      </c>
      <c r="H15" s="737"/>
      <c r="I15" s="737"/>
      <c r="J15" s="737"/>
      <c r="K15" s="737"/>
      <c r="L15" s="737"/>
      <c r="M15" s="737"/>
      <c r="N15" s="737"/>
      <c r="O15" s="737"/>
      <c r="P15" s="737"/>
      <c r="Q15" s="737"/>
      <c r="R15" s="737"/>
      <c r="S15" s="737"/>
      <c r="T15" s="737"/>
      <c r="U15" s="737"/>
      <c r="V15" s="737"/>
      <c r="W15" s="737"/>
      <c r="X15" s="737"/>
      <c r="Y15" s="737"/>
      <c r="Z15" s="737"/>
      <c r="AA15" s="737"/>
      <c r="AB15" s="737"/>
      <c r="AC15" s="738"/>
      <c r="AD15" s="684"/>
      <c r="AE15" s="684"/>
      <c r="AF15" s="684"/>
      <c r="AG15" s="684"/>
      <c r="AH15" s="684"/>
      <c r="AI15" s="684"/>
      <c r="AJ15" s="684"/>
      <c r="AK15" s="684"/>
      <c r="AL15" s="684"/>
      <c r="AM15" s="684"/>
      <c r="AN15" s="684"/>
      <c r="AO15" s="684"/>
      <c r="AP15" s="684"/>
      <c r="AQ15" s="684"/>
      <c r="AR15" s="684"/>
      <c r="AS15" s="684"/>
      <c r="AT15" s="684"/>
      <c r="AU15" s="684"/>
      <c r="AV15" s="684"/>
      <c r="AW15" s="684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</row>
    <row r="16" spans="1:101" ht="18.75" customHeight="1" x14ac:dyDescent="0.35">
      <c r="B16" s="46"/>
      <c r="C16" s="46"/>
      <c r="D16" s="46"/>
      <c r="E16" s="46"/>
      <c r="G16" s="47"/>
      <c r="H16" s="685">
        <v>42</v>
      </c>
      <c r="I16" s="685">
        <v>41</v>
      </c>
      <c r="J16" s="685">
        <v>40</v>
      </c>
      <c r="K16" s="685">
        <v>39</v>
      </c>
      <c r="L16" s="685">
        <v>38</v>
      </c>
      <c r="M16" s="685">
        <v>37</v>
      </c>
      <c r="N16" s="685">
        <v>36</v>
      </c>
      <c r="O16" s="685">
        <v>35</v>
      </c>
      <c r="P16" s="685">
        <v>34</v>
      </c>
      <c r="Q16" s="685">
        <v>33</v>
      </c>
      <c r="R16" s="685">
        <v>32</v>
      </c>
      <c r="S16" s="685">
        <v>31</v>
      </c>
      <c r="T16" s="685">
        <v>30</v>
      </c>
      <c r="U16" s="685">
        <v>29</v>
      </c>
      <c r="V16" s="685">
        <v>28</v>
      </c>
      <c r="W16" s="685">
        <v>27</v>
      </c>
      <c r="X16" s="685">
        <v>26</v>
      </c>
      <c r="Y16" s="685">
        <v>25</v>
      </c>
      <c r="Z16" s="685">
        <v>24</v>
      </c>
      <c r="AA16" s="685">
        <v>23</v>
      </c>
      <c r="AB16" s="685">
        <v>22</v>
      </c>
      <c r="AC16" s="685">
        <v>21</v>
      </c>
      <c r="AD16" s="685">
        <v>20</v>
      </c>
      <c r="AE16" s="685">
        <v>19</v>
      </c>
      <c r="AF16" s="685">
        <v>18</v>
      </c>
      <c r="AG16" s="685">
        <v>17</v>
      </c>
      <c r="AH16" s="685">
        <v>16</v>
      </c>
      <c r="AI16" s="685">
        <v>15</v>
      </c>
      <c r="AJ16" s="685">
        <v>14</v>
      </c>
      <c r="AK16" s="685">
        <v>13</v>
      </c>
      <c r="AL16" s="685">
        <v>12</v>
      </c>
      <c r="AM16" s="685">
        <v>11</v>
      </c>
      <c r="AN16" s="685">
        <v>10</v>
      </c>
      <c r="AO16" s="685">
        <v>9</v>
      </c>
      <c r="AP16" s="685">
        <v>8</v>
      </c>
      <c r="AQ16" s="685">
        <v>7</v>
      </c>
      <c r="AR16" s="685">
        <v>6</v>
      </c>
      <c r="AS16" s="685">
        <v>5</v>
      </c>
      <c r="AT16" s="685">
        <v>4</v>
      </c>
      <c r="AU16" s="685">
        <v>3</v>
      </c>
      <c r="AV16" s="685">
        <v>2</v>
      </c>
      <c r="AW16" s="685">
        <v>1</v>
      </c>
      <c r="AX16" s="47"/>
      <c r="AY16" s="47"/>
      <c r="AZ16" s="47"/>
      <c r="BA16" s="685">
        <v>42</v>
      </c>
      <c r="BB16" s="685">
        <v>41</v>
      </c>
      <c r="BC16" s="685">
        <v>40</v>
      </c>
      <c r="BD16" s="685">
        <v>39</v>
      </c>
      <c r="BE16" s="685">
        <v>38</v>
      </c>
      <c r="BF16" s="685">
        <v>37</v>
      </c>
      <c r="BG16" s="685">
        <v>36</v>
      </c>
      <c r="BH16" s="685">
        <v>35</v>
      </c>
      <c r="BI16" s="685">
        <v>34</v>
      </c>
      <c r="BJ16" s="685">
        <v>33</v>
      </c>
      <c r="BK16" s="685">
        <v>32</v>
      </c>
      <c r="BL16" s="685">
        <v>31</v>
      </c>
      <c r="BM16" s="685">
        <v>30</v>
      </c>
      <c r="BN16" s="685">
        <v>29</v>
      </c>
      <c r="BO16" s="685">
        <v>28</v>
      </c>
      <c r="BP16" s="685">
        <v>27</v>
      </c>
      <c r="BQ16" s="685">
        <v>26</v>
      </c>
      <c r="BR16" s="685">
        <v>25</v>
      </c>
      <c r="BS16" s="685">
        <v>24</v>
      </c>
      <c r="BT16" s="685">
        <v>23</v>
      </c>
      <c r="BU16" s="685">
        <v>22</v>
      </c>
      <c r="BV16" s="685">
        <v>21</v>
      </c>
      <c r="BW16" s="685">
        <v>20</v>
      </c>
      <c r="BX16" s="685">
        <v>19</v>
      </c>
      <c r="BY16" s="685">
        <v>18</v>
      </c>
      <c r="BZ16" s="685">
        <v>17</v>
      </c>
      <c r="CA16" s="685">
        <v>16</v>
      </c>
      <c r="CB16" s="685">
        <v>15</v>
      </c>
      <c r="CC16" s="685">
        <v>14</v>
      </c>
      <c r="CD16" s="685">
        <v>13</v>
      </c>
      <c r="CE16" s="685">
        <v>12</v>
      </c>
      <c r="CF16" s="685">
        <v>11</v>
      </c>
      <c r="CG16" s="685">
        <v>10</v>
      </c>
      <c r="CH16" s="685">
        <v>9</v>
      </c>
      <c r="CI16" s="685">
        <v>8</v>
      </c>
      <c r="CJ16" s="685">
        <v>7</v>
      </c>
      <c r="CK16" s="685">
        <v>6</v>
      </c>
      <c r="CL16" s="685">
        <v>5</v>
      </c>
      <c r="CM16" s="685">
        <v>4</v>
      </c>
      <c r="CN16" s="685">
        <v>3</v>
      </c>
      <c r="CO16" s="685">
        <v>2</v>
      </c>
      <c r="CP16" s="685">
        <v>1</v>
      </c>
      <c r="CQ16" s="47"/>
      <c r="CR16" s="685"/>
      <c r="CS16" s="685"/>
      <c r="CT16" s="685"/>
      <c r="CU16" s="22"/>
    </row>
    <row r="17" spans="2:103" ht="17.25" customHeight="1" x14ac:dyDescent="0.35">
      <c r="B17" s="686" t="s">
        <v>259</v>
      </c>
      <c r="C17" s="46"/>
      <c r="D17" s="46"/>
      <c r="E17" s="46"/>
      <c r="H17" s="564" t="s">
        <v>218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7"/>
      <c r="AY17" s="47"/>
      <c r="BA17" s="564" t="s">
        <v>219</v>
      </c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7"/>
      <c r="CR17" s="47"/>
      <c r="CS17" s="47"/>
      <c r="CT17" s="47"/>
      <c r="CU17" s="47"/>
    </row>
    <row r="18" spans="2:103" x14ac:dyDescent="0.35">
      <c r="B18" s="90" t="s">
        <v>260</v>
      </c>
      <c r="C18" s="52"/>
      <c r="D18" s="687"/>
      <c r="E18" s="46"/>
      <c r="H18" s="48" t="s">
        <v>212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BA18" s="48" t="s">
        <v>212</v>
      </c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</row>
    <row r="19" spans="2:103" x14ac:dyDescent="0.35">
      <c r="B19" s="90" t="s">
        <v>261</v>
      </c>
      <c r="C19" s="687"/>
      <c r="D19" s="687"/>
      <c r="E19" s="46"/>
      <c r="G19" s="20"/>
      <c r="H19" s="688">
        <v>1</v>
      </c>
      <c r="I19" s="688">
        <v>2</v>
      </c>
      <c r="J19" s="688">
        <v>3</v>
      </c>
      <c r="K19" s="688">
        <v>4</v>
      </c>
      <c r="L19" s="688">
        <v>5</v>
      </c>
      <c r="M19" s="688">
        <v>6</v>
      </c>
      <c r="N19" s="688">
        <v>7</v>
      </c>
      <c r="O19" s="688">
        <v>8</v>
      </c>
      <c r="P19" s="688">
        <v>9</v>
      </c>
      <c r="Q19" s="688">
        <v>10</v>
      </c>
      <c r="R19" s="688">
        <v>11</v>
      </c>
      <c r="S19" s="688">
        <v>12</v>
      </c>
      <c r="T19" s="688">
        <v>13</v>
      </c>
      <c r="U19" s="688">
        <v>14</v>
      </c>
      <c r="V19" s="688">
        <v>15</v>
      </c>
      <c r="W19" s="688">
        <v>16</v>
      </c>
      <c r="X19" s="688">
        <v>17</v>
      </c>
      <c r="Y19" s="688">
        <v>18</v>
      </c>
      <c r="Z19" s="688">
        <v>19</v>
      </c>
      <c r="AA19" s="688">
        <v>20</v>
      </c>
      <c r="AB19" s="688">
        <v>21</v>
      </c>
      <c r="AC19" s="688">
        <v>22</v>
      </c>
      <c r="AD19" s="688">
        <v>23</v>
      </c>
      <c r="AE19" s="688">
        <v>24</v>
      </c>
      <c r="AF19" s="688">
        <v>25</v>
      </c>
      <c r="AG19" s="688">
        <v>26</v>
      </c>
      <c r="AH19" s="688">
        <v>27</v>
      </c>
      <c r="AI19" s="688">
        <v>28</v>
      </c>
      <c r="AJ19" s="688">
        <v>29</v>
      </c>
      <c r="AK19" s="688">
        <v>30</v>
      </c>
      <c r="AL19" s="688">
        <v>31</v>
      </c>
      <c r="AM19" s="688">
        <v>32</v>
      </c>
      <c r="AN19" s="688">
        <v>33</v>
      </c>
      <c r="AO19" s="688">
        <v>34</v>
      </c>
      <c r="AP19" s="688">
        <v>35</v>
      </c>
      <c r="AQ19" s="688">
        <v>36</v>
      </c>
      <c r="AR19" s="688">
        <v>37</v>
      </c>
      <c r="AS19" s="688">
        <v>38</v>
      </c>
      <c r="AT19" s="688">
        <v>39</v>
      </c>
      <c r="AU19" s="688">
        <v>40</v>
      </c>
      <c r="AV19" s="688">
        <v>41</v>
      </c>
      <c r="AW19" s="688">
        <v>42</v>
      </c>
      <c r="AX19" s="545"/>
      <c r="AY19" s="545"/>
      <c r="AZ19" s="20"/>
      <c r="BA19" s="688">
        <v>1</v>
      </c>
      <c r="BB19" s="688">
        <v>2</v>
      </c>
      <c r="BC19" s="688">
        <v>3</v>
      </c>
      <c r="BD19" s="688">
        <v>4</v>
      </c>
      <c r="BE19" s="688">
        <v>5</v>
      </c>
      <c r="BF19" s="688">
        <v>6</v>
      </c>
      <c r="BG19" s="688">
        <v>7</v>
      </c>
      <c r="BH19" s="688">
        <v>8</v>
      </c>
      <c r="BI19" s="688">
        <v>9</v>
      </c>
      <c r="BJ19" s="688">
        <v>10</v>
      </c>
      <c r="BK19" s="688">
        <v>11</v>
      </c>
      <c r="BL19" s="688">
        <v>12</v>
      </c>
      <c r="BM19" s="688">
        <v>13</v>
      </c>
      <c r="BN19" s="688">
        <v>14</v>
      </c>
      <c r="BO19" s="688">
        <v>15</v>
      </c>
      <c r="BP19" s="688">
        <v>16</v>
      </c>
      <c r="BQ19" s="688">
        <v>17</v>
      </c>
      <c r="BR19" s="688">
        <v>18</v>
      </c>
      <c r="BS19" s="688">
        <v>19</v>
      </c>
      <c r="BT19" s="688">
        <v>20</v>
      </c>
      <c r="BU19" s="688">
        <v>21</v>
      </c>
      <c r="BV19" s="688">
        <v>22</v>
      </c>
      <c r="BW19" s="688">
        <v>23</v>
      </c>
      <c r="BX19" s="688">
        <v>24</v>
      </c>
      <c r="BY19" s="688">
        <v>25</v>
      </c>
      <c r="BZ19" s="688">
        <v>26</v>
      </c>
      <c r="CA19" s="688">
        <v>27</v>
      </c>
      <c r="CB19" s="688">
        <v>28</v>
      </c>
      <c r="CC19" s="688">
        <v>29</v>
      </c>
      <c r="CD19" s="688">
        <v>30</v>
      </c>
      <c r="CE19" s="688">
        <v>31</v>
      </c>
      <c r="CF19" s="688">
        <v>32</v>
      </c>
      <c r="CG19" s="688">
        <v>33</v>
      </c>
      <c r="CH19" s="688">
        <v>34</v>
      </c>
      <c r="CI19" s="688">
        <v>35</v>
      </c>
      <c r="CJ19" s="688">
        <v>36</v>
      </c>
      <c r="CK19" s="688">
        <v>37</v>
      </c>
      <c r="CL19" s="688">
        <v>38</v>
      </c>
      <c r="CM19" s="688">
        <v>39</v>
      </c>
      <c r="CN19" s="688">
        <v>40</v>
      </c>
      <c r="CO19" s="688">
        <v>41</v>
      </c>
      <c r="CP19" s="688">
        <v>42</v>
      </c>
      <c r="CQ19" s="545"/>
    </row>
    <row r="20" spans="2:103" x14ac:dyDescent="0.35">
      <c r="B20" s="90"/>
      <c r="C20" s="52"/>
      <c r="D20" s="52"/>
      <c r="F20" s="739" t="s">
        <v>214</v>
      </c>
      <c r="G20" s="51">
        <v>68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689"/>
      <c r="U20" s="689"/>
      <c r="V20" s="689"/>
      <c r="W20" s="689"/>
      <c r="X20" s="689"/>
      <c r="Y20" s="689"/>
      <c r="Z20" s="689"/>
      <c r="AA20" s="689"/>
      <c r="AB20" s="689"/>
      <c r="AC20" s="689"/>
      <c r="AD20" s="689"/>
      <c r="AE20" s="689"/>
      <c r="AF20" s="689"/>
      <c r="AG20" s="689"/>
      <c r="AH20" s="689"/>
      <c r="AI20" s="689"/>
      <c r="AJ20" s="689"/>
      <c r="AK20" s="689"/>
      <c r="AL20" s="689"/>
      <c r="AM20" s="689"/>
      <c r="AN20" s="689"/>
      <c r="AO20" s="689"/>
      <c r="AP20" s="689"/>
      <c r="AQ20" s="689"/>
      <c r="AR20" s="689"/>
      <c r="AS20" s="689"/>
      <c r="AT20" s="689"/>
      <c r="AU20" s="689"/>
      <c r="AV20" s="689"/>
      <c r="AW20" s="689"/>
      <c r="AX20" s="690">
        <v>68</v>
      </c>
      <c r="AY20" s="20"/>
      <c r="AZ20" s="51">
        <v>68</v>
      </c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689"/>
      <c r="BN20" s="689"/>
      <c r="BO20" s="689"/>
      <c r="BP20" s="689"/>
      <c r="BQ20" s="689"/>
      <c r="BR20" s="689"/>
      <c r="BS20" s="689"/>
      <c r="BT20" s="689"/>
      <c r="BU20" s="689"/>
      <c r="BV20" s="689"/>
      <c r="BW20" s="689"/>
      <c r="BX20" s="689"/>
      <c r="BY20" s="689"/>
      <c r="BZ20" s="689"/>
      <c r="CA20" s="689"/>
      <c r="CB20" s="689"/>
      <c r="CC20" s="689"/>
      <c r="CD20" s="689"/>
      <c r="CE20" s="689"/>
      <c r="CF20" s="689"/>
      <c r="CG20" s="689"/>
      <c r="CH20" s="689"/>
      <c r="CI20" s="689"/>
      <c r="CJ20" s="689"/>
      <c r="CK20" s="689"/>
      <c r="CL20" s="689"/>
      <c r="CM20" s="689"/>
      <c r="CN20" s="689"/>
      <c r="CO20" s="689"/>
      <c r="CP20" s="689"/>
      <c r="CQ20" s="690">
        <v>68</v>
      </c>
      <c r="CR20" s="739" t="s">
        <v>214</v>
      </c>
      <c r="CS20" s="49"/>
      <c r="CT20" s="49"/>
      <c r="CU20" s="49"/>
      <c r="CV20" s="49"/>
      <c r="CW20" s="49"/>
      <c r="CX20" s="49"/>
      <c r="CY20" s="49"/>
    </row>
    <row r="21" spans="2:103" ht="15" thickBot="1" x14ac:dyDescent="0.4">
      <c r="B21" s="90"/>
      <c r="C21" s="52"/>
      <c r="D21" s="52"/>
      <c r="F21" s="739"/>
      <c r="G21" s="51">
        <v>67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689"/>
      <c r="U21" s="689"/>
      <c r="V21" s="689"/>
      <c r="W21" s="689"/>
      <c r="X21" s="689"/>
      <c r="Y21" s="689"/>
      <c r="Z21" s="689"/>
      <c r="AA21" s="689"/>
      <c r="AB21" s="689"/>
      <c r="AC21" s="689"/>
      <c r="AD21" s="689"/>
      <c r="AE21" s="689"/>
      <c r="AF21" s="689"/>
      <c r="AG21" s="689"/>
      <c r="AH21" s="689"/>
      <c r="AI21" s="689"/>
      <c r="AJ21" s="689"/>
      <c r="AK21" s="689"/>
      <c r="AL21" s="689"/>
      <c r="AM21" s="689"/>
      <c r="AN21" s="689"/>
      <c r="AO21" s="689"/>
      <c r="AP21" s="689"/>
      <c r="AQ21" s="689"/>
      <c r="AR21" s="689"/>
      <c r="AS21" s="689"/>
      <c r="AT21" s="689"/>
      <c r="AU21" s="689"/>
      <c r="AV21" s="689"/>
      <c r="AW21" s="689"/>
      <c r="AX21" s="690">
        <v>67</v>
      </c>
      <c r="AY21" s="20"/>
      <c r="AZ21" s="51">
        <v>67</v>
      </c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689"/>
      <c r="BN21" s="689"/>
      <c r="BO21" s="689"/>
      <c r="BP21" s="689"/>
      <c r="BQ21" s="689"/>
      <c r="BR21" s="689"/>
      <c r="BS21" s="689"/>
      <c r="BT21" s="689"/>
      <c r="BU21" s="689"/>
      <c r="BV21" s="689"/>
      <c r="BW21" s="689"/>
      <c r="BX21" s="689"/>
      <c r="BY21" s="689"/>
      <c r="BZ21" s="689"/>
      <c r="CA21" s="689"/>
      <c r="CB21" s="689"/>
      <c r="CC21" s="689"/>
      <c r="CD21" s="689"/>
      <c r="CE21" s="689"/>
      <c r="CF21" s="689"/>
      <c r="CG21" s="689"/>
      <c r="CH21" s="689"/>
      <c r="CI21" s="689"/>
      <c r="CJ21" s="689"/>
      <c r="CK21" s="689"/>
      <c r="CL21" s="689"/>
      <c r="CM21" s="689"/>
      <c r="CN21" s="689"/>
      <c r="CO21" s="689"/>
      <c r="CP21" s="689"/>
      <c r="CQ21" s="690">
        <v>67</v>
      </c>
      <c r="CR21" s="739"/>
      <c r="CS21" s="49"/>
      <c r="CT21" s="49"/>
      <c r="CU21" s="49"/>
      <c r="CV21" s="49"/>
      <c r="CW21" s="49"/>
      <c r="CX21" s="49"/>
      <c r="CY21" s="49"/>
    </row>
    <row r="22" spans="2:103" ht="16" thickBot="1" x14ac:dyDescent="0.4">
      <c r="F22" s="739"/>
      <c r="G22" s="691">
        <v>66</v>
      </c>
      <c r="H22" s="547"/>
      <c r="I22" s="548"/>
      <c r="J22" s="548"/>
      <c r="K22" s="548"/>
      <c r="L22" s="548"/>
      <c r="M22" s="548"/>
      <c r="N22" s="548"/>
      <c r="O22" s="548"/>
      <c r="P22" s="548"/>
      <c r="Q22" s="548"/>
      <c r="R22" s="548"/>
      <c r="S22" s="548"/>
      <c r="T22" s="548"/>
      <c r="U22" s="548"/>
      <c r="V22" s="548"/>
      <c r="W22" s="548"/>
      <c r="X22" s="548"/>
      <c r="Y22" s="548"/>
      <c r="Z22" s="548"/>
      <c r="AA22" s="548"/>
      <c r="AB22" s="548"/>
      <c r="AC22" s="548"/>
      <c r="AD22" s="548"/>
      <c r="AE22" s="548"/>
      <c r="AF22" s="548"/>
      <c r="AG22" s="548"/>
      <c r="AH22" s="548"/>
      <c r="AI22" s="548"/>
      <c r="AJ22" s="548"/>
      <c r="AK22" s="548"/>
      <c r="AL22" s="548"/>
      <c r="AM22" s="548"/>
      <c r="AN22" s="548"/>
      <c r="AO22" s="548"/>
      <c r="AP22" s="548"/>
      <c r="AQ22" s="548"/>
      <c r="AR22" s="548"/>
      <c r="AS22" s="548"/>
      <c r="AT22" s="548"/>
      <c r="AU22" s="548"/>
      <c r="AV22" s="548"/>
      <c r="AW22" s="548"/>
      <c r="AX22" s="549">
        <v>66</v>
      </c>
      <c r="AZ22" s="691">
        <v>66</v>
      </c>
      <c r="BA22" s="547"/>
      <c r="BB22" s="548"/>
      <c r="BC22" s="548"/>
      <c r="BD22" s="548"/>
      <c r="BE22" s="548"/>
      <c r="BF22" s="548"/>
      <c r="BG22" s="548"/>
      <c r="BH22" s="548"/>
      <c r="BI22" s="548"/>
      <c r="BJ22" s="548"/>
      <c r="BK22" s="548"/>
      <c r="BL22" s="548"/>
      <c r="BM22" s="548"/>
      <c r="BN22" s="548"/>
      <c r="BO22" s="548"/>
      <c r="BP22" s="548"/>
      <c r="BQ22" s="548"/>
      <c r="BR22" s="548"/>
      <c r="BS22" s="548"/>
      <c r="BT22" s="548"/>
      <c r="BU22" s="548"/>
      <c r="BV22" s="692"/>
      <c r="BW22" s="692"/>
      <c r="BX22" s="692"/>
      <c r="BY22" s="692"/>
      <c r="BZ22" s="692"/>
      <c r="CA22" s="692"/>
      <c r="CB22" s="692"/>
      <c r="CC22" s="692"/>
      <c r="CD22" s="692"/>
      <c r="CE22" s="692"/>
      <c r="CF22" s="692"/>
      <c r="CG22" s="692"/>
      <c r="CH22" s="692"/>
      <c r="CI22" s="692"/>
      <c r="CJ22" s="692"/>
      <c r="CK22" s="692"/>
      <c r="CL22" s="692"/>
      <c r="CM22" s="692"/>
      <c r="CN22" s="692"/>
      <c r="CO22" s="692"/>
      <c r="CP22" s="692"/>
      <c r="CQ22" s="693">
        <v>66</v>
      </c>
      <c r="CR22" s="739"/>
      <c r="CS22" s="49"/>
      <c r="CT22" s="49"/>
      <c r="CU22" s="49"/>
      <c r="CV22" s="49"/>
      <c r="CW22" s="49"/>
      <c r="CX22" s="49"/>
      <c r="CY22" s="49"/>
    </row>
    <row r="23" spans="2:103" x14ac:dyDescent="0.35">
      <c r="B23" s="260" t="s">
        <v>117</v>
      </c>
      <c r="C23" s="261"/>
      <c r="D23" s="261"/>
      <c r="E23" s="262"/>
      <c r="F23" s="739"/>
      <c r="G23" s="51">
        <v>65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1">
        <v>65</v>
      </c>
      <c r="AY23" s="20"/>
      <c r="AZ23" s="51">
        <v>65</v>
      </c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1">
        <v>65</v>
      </c>
      <c r="CR23" s="739"/>
      <c r="CS23" s="49"/>
      <c r="CT23" s="49"/>
      <c r="CU23" s="49"/>
      <c r="CV23" s="49"/>
      <c r="CW23" s="49"/>
      <c r="CX23" s="49"/>
      <c r="CY23" s="49"/>
    </row>
    <row r="24" spans="2:103" x14ac:dyDescent="0.35">
      <c r="B24" s="263" t="s">
        <v>113</v>
      </c>
      <c r="C24" s="264" t="s">
        <v>114</v>
      </c>
      <c r="D24" s="264" t="s">
        <v>101</v>
      </c>
      <c r="E24" s="265" t="s">
        <v>11</v>
      </c>
      <c r="F24" s="739"/>
      <c r="G24" s="51">
        <v>64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1">
        <v>64</v>
      </c>
      <c r="AY24" s="20"/>
      <c r="AZ24" s="51">
        <v>64</v>
      </c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1">
        <v>64</v>
      </c>
      <c r="CR24" s="739"/>
      <c r="CS24" s="49"/>
      <c r="CT24" s="49"/>
      <c r="CU24" s="49"/>
      <c r="CV24" s="49"/>
      <c r="CW24" s="49"/>
      <c r="CX24" s="49"/>
      <c r="CY24" s="49"/>
    </row>
    <row r="25" spans="2:103" x14ac:dyDescent="0.35">
      <c r="B25" s="266">
        <v>2.729528535980149E-2</v>
      </c>
      <c r="C25" s="267">
        <v>4.2063094641962943E-2</v>
      </c>
      <c r="D25" s="268">
        <f>C25-B25</f>
        <v>1.4767809282161454E-2</v>
      </c>
      <c r="E25" s="269">
        <f>1/D25</f>
        <v>67.714850652082461</v>
      </c>
      <c r="F25" s="739"/>
      <c r="G25" s="51">
        <v>63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1">
        <v>63</v>
      </c>
      <c r="AY25" s="20"/>
      <c r="AZ25" s="51">
        <v>63</v>
      </c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1">
        <v>63</v>
      </c>
      <c r="CR25" s="739"/>
      <c r="CS25" s="49"/>
      <c r="CT25" s="49"/>
      <c r="CU25" s="49"/>
      <c r="CV25" s="49"/>
      <c r="CW25" s="49"/>
      <c r="CX25" s="49"/>
      <c r="CY25" s="49"/>
    </row>
    <row r="26" spans="2:103" ht="15" thickBot="1" x14ac:dyDescent="0.4">
      <c r="B26" s="452" t="s">
        <v>168</v>
      </c>
      <c r="C26" s="404">
        <f>B25*E25</f>
        <v>1.8482961716449307</v>
      </c>
      <c r="D26" s="270">
        <f>D25*E25</f>
        <v>0.99999999999999989</v>
      </c>
      <c r="E26" s="403">
        <f>(1-C25)*E25</f>
        <v>64.866554480437529</v>
      </c>
      <c r="F26" s="739"/>
      <c r="G26" s="51">
        <v>62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1">
        <v>62</v>
      </c>
      <c r="AY26" s="20"/>
      <c r="AZ26" s="51">
        <v>62</v>
      </c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1">
        <v>62</v>
      </c>
      <c r="CR26" s="739"/>
      <c r="CS26" s="49"/>
      <c r="CT26" s="49"/>
      <c r="CU26" s="49"/>
      <c r="CV26" s="49"/>
      <c r="CW26" s="49"/>
      <c r="CX26" s="49"/>
      <c r="CY26" s="49"/>
    </row>
    <row r="27" spans="2:103" x14ac:dyDescent="0.35">
      <c r="G27" s="51">
        <v>61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1">
        <v>61</v>
      </c>
      <c r="AY27" s="20"/>
      <c r="AZ27" s="51">
        <v>61</v>
      </c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1">
        <v>61</v>
      </c>
      <c r="CR27" s="49"/>
      <c r="CS27" s="49"/>
      <c r="CT27" s="49"/>
      <c r="CU27" s="49"/>
      <c r="CV27" s="49"/>
      <c r="CW27" s="49"/>
      <c r="CX27" s="49"/>
      <c r="CY27" s="49"/>
    </row>
    <row r="28" spans="2:103" x14ac:dyDescent="0.35">
      <c r="G28" s="51">
        <v>60</v>
      </c>
      <c r="H28" s="55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1">
        <v>60</v>
      </c>
      <c r="AY28" s="52"/>
      <c r="AZ28" s="51">
        <v>60</v>
      </c>
      <c r="BA28" s="5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1">
        <v>60</v>
      </c>
      <c r="CR28" s="49"/>
      <c r="CS28" s="49"/>
      <c r="CT28" s="49"/>
      <c r="CU28" s="49"/>
      <c r="CV28" s="49"/>
      <c r="CW28" s="49"/>
      <c r="CX28" s="49"/>
      <c r="CY28" s="49"/>
    </row>
    <row r="29" spans="2:103" x14ac:dyDescent="0.35">
      <c r="G29" s="51">
        <v>59</v>
      </c>
      <c r="H29" s="553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1">
        <v>59</v>
      </c>
      <c r="AZ29" s="51">
        <v>59</v>
      </c>
      <c r="BA29" s="553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1">
        <v>59</v>
      </c>
    </row>
    <row r="30" spans="2:103" x14ac:dyDescent="0.35">
      <c r="G30" s="51">
        <v>58</v>
      </c>
      <c r="H30" s="553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1">
        <v>58</v>
      </c>
      <c r="AZ30" s="51">
        <v>58</v>
      </c>
      <c r="BA30" s="553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1">
        <v>58</v>
      </c>
    </row>
    <row r="31" spans="2:103" x14ac:dyDescent="0.35">
      <c r="G31" s="51">
        <v>57</v>
      </c>
      <c r="H31" s="55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1">
        <v>57</v>
      </c>
      <c r="AZ31" s="51">
        <v>57</v>
      </c>
      <c r="BA31" s="553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1">
        <v>57</v>
      </c>
    </row>
    <row r="32" spans="2:103" x14ac:dyDescent="0.35">
      <c r="G32" s="51">
        <v>56</v>
      </c>
      <c r="H32" s="55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1">
        <v>56</v>
      </c>
      <c r="AZ32" s="51">
        <v>56</v>
      </c>
      <c r="BA32" s="553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1">
        <v>56</v>
      </c>
    </row>
    <row r="33" spans="7:95" x14ac:dyDescent="0.35">
      <c r="G33" s="51">
        <v>55</v>
      </c>
      <c r="H33" s="55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1">
        <v>55</v>
      </c>
      <c r="AZ33" s="51">
        <v>55</v>
      </c>
      <c r="BA33" s="553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1">
        <v>55</v>
      </c>
    </row>
    <row r="34" spans="7:95" x14ac:dyDescent="0.35">
      <c r="G34" s="51">
        <v>54</v>
      </c>
      <c r="H34" s="55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1">
        <v>54</v>
      </c>
      <c r="AZ34" s="51">
        <v>54</v>
      </c>
      <c r="BA34" s="553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1">
        <v>54</v>
      </c>
    </row>
    <row r="35" spans="7:95" x14ac:dyDescent="0.35">
      <c r="G35" s="51">
        <v>53</v>
      </c>
      <c r="H35" s="55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1">
        <v>53</v>
      </c>
      <c r="AZ35" s="51">
        <v>53</v>
      </c>
      <c r="BA35" s="553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1">
        <v>53</v>
      </c>
    </row>
    <row r="36" spans="7:95" x14ac:dyDescent="0.35">
      <c r="G36" s="51">
        <v>52</v>
      </c>
      <c r="H36" s="553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1">
        <v>52</v>
      </c>
      <c r="AZ36" s="51">
        <v>52</v>
      </c>
      <c r="BA36" s="553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1">
        <v>52</v>
      </c>
    </row>
    <row r="37" spans="7:95" x14ac:dyDescent="0.35">
      <c r="G37" s="51">
        <v>51</v>
      </c>
      <c r="H37" s="55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1">
        <v>51</v>
      </c>
      <c r="AZ37" s="51">
        <v>51</v>
      </c>
      <c r="BA37" s="553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1">
        <v>51</v>
      </c>
    </row>
    <row r="38" spans="7:95" x14ac:dyDescent="0.35">
      <c r="G38" s="51">
        <v>50</v>
      </c>
      <c r="H38" s="55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1">
        <v>50</v>
      </c>
      <c r="AZ38" s="51">
        <v>50</v>
      </c>
      <c r="BA38" s="553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1">
        <v>50</v>
      </c>
    </row>
    <row r="39" spans="7:95" x14ac:dyDescent="0.35">
      <c r="G39" s="51">
        <v>49</v>
      </c>
      <c r="H39" s="55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1">
        <v>49</v>
      </c>
      <c r="AZ39" s="51">
        <v>49</v>
      </c>
      <c r="BA39" s="553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1">
        <v>49</v>
      </c>
    </row>
    <row r="40" spans="7:95" x14ac:dyDescent="0.35">
      <c r="G40" s="51">
        <v>48</v>
      </c>
      <c r="H40" s="55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1">
        <v>48</v>
      </c>
      <c r="AZ40" s="51">
        <v>48</v>
      </c>
      <c r="BA40" s="553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1">
        <v>48</v>
      </c>
    </row>
    <row r="41" spans="7:95" x14ac:dyDescent="0.35">
      <c r="G41" s="51">
        <v>47</v>
      </c>
      <c r="H41" s="55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1">
        <v>47</v>
      </c>
      <c r="AZ41" s="51">
        <v>47</v>
      </c>
      <c r="BA41" s="553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1">
        <v>47</v>
      </c>
    </row>
    <row r="42" spans="7:95" x14ac:dyDescent="0.35">
      <c r="G42" s="51">
        <v>46</v>
      </c>
      <c r="H42" s="55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1">
        <v>46</v>
      </c>
      <c r="AZ42" s="51">
        <v>46</v>
      </c>
      <c r="BA42" s="553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1">
        <v>46</v>
      </c>
    </row>
    <row r="43" spans="7:95" x14ac:dyDescent="0.35">
      <c r="G43" s="51">
        <v>45</v>
      </c>
      <c r="H43" s="55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1">
        <v>45</v>
      </c>
      <c r="AZ43" s="51">
        <v>45</v>
      </c>
      <c r="BA43" s="553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1">
        <v>45</v>
      </c>
    </row>
    <row r="44" spans="7:95" x14ac:dyDescent="0.35">
      <c r="G44" s="51">
        <v>44</v>
      </c>
      <c r="H44" s="55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1">
        <v>44</v>
      </c>
      <c r="AZ44" s="51">
        <v>44</v>
      </c>
      <c r="BA44" s="553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1">
        <v>44</v>
      </c>
    </row>
    <row r="45" spans="7:95" x14ac:dyDescent="0.35">
      <c r="G45" s="51">
        <v>43</v>
      </c>
      <c r="H45" s="55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1">
        <v>43</v>
      </c>
      <c r="AZ45" s="51">
        <v>43</v>
      </c>
      <c r="BA45" s="553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1">
        <v>43</v>
      </c>
    </row>
    <row r="46" spans="7:95" x14ac:dyDescent="0.35">
      <c r="G46" s="51">
        <v>42</v>
      </c>
      <c r="H46" s="553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1">
        <v>42</v>
      </c>
      <c r="AZ46" s="51">
        <v>42</v>
      </c>
      <c r="BA46" s="553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1">
        <v>42</v>
      </c>
    </row>
    <row r="47" spans="7:95" x14ac:dyDescent="0.35">
      <c r="G47" s="51">
        <v>41</v>
      </c>
      <c r="H47" s="553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1">
        <v>41</v>
      </c>
      <c r="AZ47" s="51">
        <v>41</v>
      </c>
      <c r="BA47" s="553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1">
        <v>41</v>
      </c>
    </row>
    <row r="48" spans="7:95" x14ac:dyDescent="0.35">
      <c r="G48" s="51">
        <v>40</v>
      </c>
      <c r="H48" s="553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1">
        <v>40</v>
      </c>
      <c r="AZ48" s="51">
        <v>40</v>
      </c>
      <c r="BA48" s="553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1">
        <v>40</v>
      </c>
    </row>
    <row r="49" spans="7:95" x14ac:dyDescent="0.35">
      <c r="G49" s="51">
        <v>39</v>
      </c>
      <c r="H49" s="553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1">
        <v>39</v>
      </c>
      <c r="AZ49" s="51">
        <v>39</v>
      </c>
      <c r="BA49" s="553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1">
        <v>39</v>
      </c>
    </row>
    <row r="50" spans="7:95" x14ac:dyDescent="0.35">
      <c r="G50" s="51">
        <v>38</v>
      </c>
      <c r="H50" s="553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1">
        <v>38</v>
      </c>
      <c r="AZ50" s="51">
        <v>38</v>
      </c>
      <c r="BA50" s="553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1">
        <v>38</v>
      </c>
    </row>
    <row r="51" spans="7:95" x14ac:dyDescent="0.35">
      <c r="G51" s="51">
        <v>37</v>
      </c>
      <c r="H51" s="55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1">
        <v>37</v>
      </c>
      <c r="AZ51" s="51">
        <v>37</v>
      </c>
      <c r="BA51" s="553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1">
        <v>37</v>
      </c>
    </row>
    <row r="52" spans="7:95" x14ac:dyDescent="0.35">
      <c r="G52" s="51">
        <v>36</v>
      </c>
      <c r="H52" s="55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1">
        <v>36</v>
      </c>
      <c r="AZ52" s="51">
        <v>36</v>
      </c>
      <c r="BA52" s="553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1">
        <v>36</v>
      </c>
    </row>
    <row r="53" spans="7:95" x14ac:dyDescent="0.35">
      <c r="G53" s="51">
        <v>35</v>
      </c>
      <c r="H53" s="553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1">
        <v>35</v>
      </c>
      <c r="AZ53" s="51">
        <v>35</v>
      </c>
      <c r="BA53" s="553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1">
        <v>35</v>
      </c>
    </row>
    <row r="54" spans="7:95" x14ac:dyDescent="0.35">
      <c r="G54" s="51">
        <v>34</v>
      </c>
      <c r="H54" s="553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1">
        <v>34</v>
      </c>
      <c r="AZ54" s="51">
        <v>34</v>
      </c>
      <c r="BA54" s="553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1">
        <v>34</v>
      </c>
    </row>
    <row r="55" spans="7:95" x14ac:dyDescent="0.35">
      <c r="G55" s="51">
        <v>33</v>
      </c>
      <c r="H55" s="553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1">
        <v>33</v>
      </c>
      <c r="AZ55" s="51">
        <v>33</v>
      </c>
      <c r="BA55" s="553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1">
        <v>33</v>
      </c>
    </row>
    <row r="56" spans="7:95" x14ac:dyDescent="0.35">
      <c r="G56" s="51">
        <v>32</v>
      </c>
      <c r="H56" s="553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1">
        <v>32</v>
      </c>
      <c r="AZ56" s="51">
        <v>32</v>
      </c>
      <c r="BA56" s="553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1">
        <v>32</v>
      </c>
    </row>
    <row r="57" spans="7:95" x14ac:dyDescent="0.35">
      <c r="G57" s="51">
        <v>31</v>
      </c>
      <c r="H57" s="553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1">
        <v>31</v>
      </c>
      <c r="AZ57" s="51">
        <v>31</v>
      </c>
      <c r="BA57" s="553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1">
        <v>31</v>
      </c>
    </row>
    <row r="58" spans="7:95" x14ac:dyDescent="0.35">
      <c r="G58" s="51">
        <v>30</v>
      </c>
      <c r="H58" s="553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1">
        <v>30</v>
      </c>
      <c r="AZ58" s="51">
        <v>30</v>
      </c>
      <c r="BA58" s="553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1">
        <v>30</v>
      </c>
    </row>
    <row r="59" spans="7:95" x14ac:dyDescent="0.35">
      <c r="G59" s="51">
        <v>29</v>
      </c>
      <c r="H59" s="553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1">
        <v>29</v>
      </c>
      <c r="AZ59" s="51">
        <v>29</v>
      </c>
      <c r="BA59" s="553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1">
        <v>29</v>
      </c>
    </row>
    <row r="60" spans="7:95" x14ac:dyDescent="0.35">
      <c r="G60" s="51">
        <v>28</v>
      </c>
      <c r="H60" s="553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1">
        <v>28</v>
      </c>
      <c r="AZ60" s="51">
        <v>28</v>
      </c>
      <c r="BA60" s="553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1">
        <v>28</v>
      </c>
    </row>
    <row r="61" spans="7:95" x14ac:dyDescent="0.35">
      <c r="G61" s="51">
        <v>27</v>
      </c>
      <c r="H61" s="553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1">
        <v>27</v>
      </c>
      <c r="AZ61" s="51">
        <v>27</v>
      </c>
      <c r="BA61" s="553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1">
        <v>27</v>
      </c>
    </row>
    <row r="62" spans="7:95" x14ac:dyDescent="0.35">
      <c r="G62" s="51">
        <v>26</v>
      </c>
      <c r="H62" s="553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1">
        <v>26</v>
      </c>
      <c r="AZ62" s="51">
        <v>26</v>
      </c>
      <c r="BA62" s="553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1">
        <v>26</v>
      </c>
    </row>
    <row r="63" spans="7:95" x14ac:dyDescent="0.35">
      <c r="G63" s="51">
        <v>25</v>
      </c>
      <c r="H63" s="553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1">
        <v>25</v>
      </c>
      <c r="AZ63" s="51">
        <v>25</v>
      </c>
      <c r="BA63" s="553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1">
        <v>25</v>
      </c>
    </row>
    <row r="64" spans="7:95" x14ac:dyDescent="0.35">
      <c r="G64" s="51">
        <v>24</v>
      </c>
      <c r="H64" s="553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1">
        <v>24</v>
      </c>
      <c r="AZ64" s="51">
        <v>24</v>
      </c>
      <c r="BA64" s="553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1">
        <v>24</v>
      </c>
    </row>
    <row r="65" spans="7:95" x14ac:dyDescent="0.35">
      <c r="G65" s="51">
        <v>23</v>
      </c>
      <c r="H65" s="553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1">
        <v>23</v>
      </c>
      <c r="AZ65" s="51">
        <v>23</v>
      </c>
      <c r="BA65" s="553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1">
        <v>23</v>
      </c>
    </row>
    <row r="66" spans="7:95" x14ac:dyDescent="0.35">
      <c r="G66" s="51">
        <v>22</v>
      </c>
      <c r="H66" s="553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1">
        <v>22</v>
      </c>
      <c r="AZ66" s="51">
        <v>22</v>
      </c>
      <c r="BA66" s="553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1">
        <v>22</v>
      </c>
    </row>
    <row r="67" spans="7:95" x14ac:dyDescent="0.35">
      <c r="G67" s="51">
        <v>21</v>
      </c>
      <c r="H67" s="553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1">
        <v>21</v>
      </c>
      <c r="AZ67" s="51">
        <v>21</v>
      </c>
      <c r="BA67" s="553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1">
        <v>21</v>
      </c>
    </row>
    <row r="68" spans="7:95" x14ac:dyDescent="0.35">
      <c r="G68" s="51">
        <v>20</v>
      </c>
      <c r="H68" s="553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1">
        <v>20</v>
      </c>
      <c r="AZ68" s="51">
        <v>20</v>
      </c>
      <c r="BA68" s="553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1">
        <v>20</v>
      </c>
    </row>
    <row r="69" spans="7:95" x14ac:dyDescent="0.35">
      <c r="G69" s="51">
        <v>19</v>
      </c>
      <c r="H69" s="553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1">
        <v>19</v>
      </c>
      <c r="AZ69" s="51">
        <v>19</v>
      </c>
      <c r="BA69" s="553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1">
        <v>19</v>
      </c>
    </row>
    <row r="70" spans="7:95" x14ac:dyDescent="0.35">
      <c r="G70" s="51">
        <v>18</v>
      </c>
      <c r="H70" s="553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1">
        <v>18</v>
      </c>
      <c r="AZ70" s="51">
        <v>18</v>
      </c>
      <c r="BA70" s="553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1">
        <v>18</v>
      </c>
    </row>
    <row r="71" spans="7:95" x14ac:dyDescent="0.35">
      <c r="G71" s="51">
        <v>17</v>
      </c>
      <c r="H71" s="553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1">
        <v>17</v>
      </c>
      <c r="AZ71" s="51">
        <v>17</v>
      </c>
      <c r="BA71" s="553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1">
        <v>17</v>
      </c>
    </row>
    <row r="72" spans="7:95" x14ac:dyDescent="0.35">
      <c r="G72" s="51">
        <v>16</v>
      </c>
      <c r="H72" s="553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1">
        <v>16</v>
      </c>
      <c r="AZ72" s="51">
        <v>16</v>
      </c>
      <c r="BA72" s="553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1">
        <v>16</v>
      </c>
    </row>
    <row r="73" spans="7:95" x14ac:dyDescent="0.35">
      <c r="G73" s="51">
        <v>15</v>
      </c>
      <c r="H73" s="553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1">
        <v>15</v>
      </c>
      <c r="AZ73" s="51">
        <v>15</v>
      </c>
      <c r="BA73" s="553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1">
        <v>15</v>
      </c>
    </row>
    <row r="74" spans="7:95" x14ac:dyDescent="0.35">
      <c r="G74" s="51">
        <v>14</v>
      </c>
      <c r="H74" s="553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1">
        <v>14</v>
      </c>
      <c r="AZ74" s="51">
        <v>14</v>
      </c>
      <c r="BA74" s="553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1">
        <v>14</v>
      </c>
    </row>
    <row r="75" spans="7:95" x14ac:dyDescent="0.35">
      <c r="G75" s="51">
        <v>13</v>
      </c>
      <c r="H75" s="553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1">
        <v>13</v>
      </c>
      <c r="AZ75" s="51">
        <v>13</v>
      </c>
      <c r="BA75" s="5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1">
        <v>13</v>
      </c>
    </row>
    <row r="76" spans="7:95" x14ac:dyDescent="0.35">
      <c r="G76" s="51">
        <v>12</v>
      </c>
      <c r="H76" s="553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1">
        <v>12</v>
      </c>
      <c r="AZ76" s="51">
        <v>12</v>
      </c>
      <c r="BA76" s="553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1">
        <v>12</v>
      </c>
    </row>
    <row r="77" spans="7:95" x14ac:dyDescent="0.35">
      <c r="G77" s="51">
        <v>11</v>
      </c>
      <c r="H77" s="55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1">
        <v>11</v>
      </c>
      <c r="AZ77" s="51">
        <v>11</v>
      </c>
      <c r="BA77" s="553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1">
        <v>11</v>
      </c>
    </row>
    <row r="78" spans="7:95" x14ac:dyDescent="0.35">
      <c r="G78" s="51">
        <v>10</v>
      </c>
      <c r="H78" s="55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1">
        <v>10</v>
      </c>
      <c r="AZ78" s="51">
        <v>10</v>
      </c>
      <c r="BA78" s="553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1">
        <v>10</v>
      </c>
    </row>
    <row r="79" spans="7:95" x14ac:dyDescent="0.35">
      <c r="G79" s="51">
        <v>9</v>
      </c>
      <c r="H79" s="55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1">
        <v>9</v>
      </c>
      <c r="AZ79" s="51">
        <v>9</v>
      </c>
      <c r="BA79" s="553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1">
        <v>9</v>
      </c>
    </row>
    <row r="80" spans="7:95" x14ac:dyDescent="0.35">
      <c r="G80" s="51">
        <v>8</v>
      </c>
      <c r="H80" s="55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1">
        <v>8</v>
      </c>
      <c r="AZ80" s="51">
        <v>8</v>
      </c>
      <c r="BA80" s="553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1">
        <v>8</v>
      </c>
    </row>
    <row r="81" spans="7:95" x14ac:dyDescent="0.35">
      <c r="G81" s="51">
        <v>7</v>
      </c>
      <c r="H81" s="55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1">
        <v>7</v>
      </c>
      <c r="AZ81" s="51">
        <v>7</v>
      </c>
      <c r="BA81" s="553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1">
        <v>7</v>
      </c>
    </row>
    <row r="82" spans="7:95" x14ac:dyDescent="0.35">
      <c r="G82" s="51">
        <v>6</v>
      </c>
      <c r="H82" s="55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1">
        <v>6</v>
      </c>
      <c r="AZ82" s="51">
        <v>6</v>
      </c>
      <c r="BA82" s="553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1">
        <v>6</v>
      </c>
    </row>
    <row r="83" spans="7:95" x14ac:dyDescent="0.35">
      <c r="G83" s="51">
        <v>5</v>
      </c>
      <c r="H83" s="55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1">
        <v>5</v>
      </c>
      <c r="AZ83" s="51">
        <v>5</v>
      </c>
      <c r="BA83" s="553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1">
        <v>5</v>
      </c>
    </row>
    <row r="84" spans="7:95" x14ac:dyDescent="0.35">
      <c r="G84" s="51">
        <v>4</v>
      </c>
      <c r="H84" s="55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1">
        <v>4</v>
      </c>
      <c r="AZ84" s="51">
        <v>4</v>
      </c>
      <c r="BA84" s="553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1">
        <v>4</v>
      </c>
    </row>
    <row r="85" spans="7:95" x14ac:dyDescent="0.35">
      <c r="G85" s="51">
        <v>3</v>
      </c>
      <c r="H85" s="55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1">
        <v>3</v>
      </c>
      <c r="AZ85" s="51">
        <v>3</v>
      </c>
      <c r="BA85" s="553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1">
        <v>3</v>
      </c>
    </row>
    <row r="86" spans="7:95" x14ac:dyDescent="0.35">
      <c r="G86" s="51">
        <v>2</v>
      </c>
      <c r="H86" s="55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1">
        <v>2</v>
      </c>
      <c r="AZ86" s="51">
        <v>2</v>
      </c>
      <c r="BA86" s="553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1">
        <v>2</v>
      </c>
    </row>
    <row r="87" spans="7:95" x14ac:dyDescent="0.35">
      <c r="G87" s="51">
        <v>1</v>
      </c>
      <c r="H87" s="55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1">
        <v>1</v>
      </c>
      <c r="AZ87" s="51">
        <v>1</v>
      </c>
      <c r="BA87" s="553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1">
        <v>1</v>
      </c>
    </row>
    <row r="88" spans="7:95" x14ac:dyDescent="0.35">
      <c r="H88" s="688">
        <v>1</v>
      </c>
      <c r="I88" s="688">
        <v>2</v>
      </c>
      <c r="J88" s="688">
        <v>3</v>
      </c>
      <c r="K88" s="688">
        <v>4</v>
      </c>
      <c r="L88" s="688">
        <v>5</v>
      </c>
      <c r="M88" s="688">
        <v>6</v>
      </c>
      <c r="N88" s="688">
        <v>7</v>
      </c>
      <c r="O88" s="688">
        <v>8</v>
      </c>
      <c r="P88" s="688">
        <v>9</v>
      </c>
      <c r="Q88" s="688">
        <v>10</v>
      </c>
      <c r="R88" s="688">
        <v>11</v>
      </c>
      <c r="S88" s="688">
        <v>12</v>
      </c>
      <c r="T88" s="688">
        <v>13</v>
      </c>
      <c r="U88" s="688">
        <v>14</v>
      </c>
      <c r="V88" s="688">
        <v>15</v>
      </c>
      <c r="W88" s="688">
        <v>16</v>
      </c>
      <c r="X88" s="688">
        <v>17</v>
      </c>
      <c r="Y88" s="688">
        <v>18</v>
      </c>
      <c r="Z88" s="688">
        <v>19</v>
      </c>
      <c r="AA88" s="688">
        <v>20</v>
      </c>
      <c r="AB88" s="688">
        <v>21</v>
      </c>
      <c r="AC88" s="688">
        <v>22</v>
      </c>
      <c r="AD88" s="688">
        <v>23</v>
      </c>
      <c r="AE88" s="688">
        <v>24</v>
      </c>
      <c r="AF88" s="688">
        <v>25</v>
      </c>
      <c r="AG88" s="688">
        <v>26</v>
      </c>
      <c r="AH88" s="688">
        <v>27</v>
      </c>
      <c r="AI88" s="688">
        <v>28</v>
      </c>
      <c r="AJ88" s="688">
        <v>29</v>
      </c>
      <c r="AK88" s="688">
        <v>30</v>
      </c>
      <c r="AL88" s="688">
        <v>31</v>
      </c>
      <c r="AM88" s="688">
        <v>32</v>
      </c>
      <c r="AN88" s="688">
        <v>33</v>
      </c>
      <c r="AO88" s="688">
        <v>34</v>
      </c>
      <c r="AP88" s="688">
        <v>35</v>
      </c>
      <c r="AQ88" s="688">
        <v>36</v>
      </c>
      <c r="AR88" s="688">
        <v>37</v>
      </c>
      <c r="AS88" s="688">
        <v>38</v>
      </c>
      <c r="AT88" s="688">
        <v>39</v>
      </c>
      <c r="AU88" s="688">
        <v>40</v>
      </c>
      <c r="AV88" s="688">
        <v>41</v>
      </c>
      <c r="AW88" s="688">
        <v>42</v>
      </c>
      <c r="AX88" s="545"/>
      <c r="AY88" s="545"/>
      <c r="BA88" s="688">
        <v>1</v>
      </c>
      <c r="BB88" s="688">
        <v>2</v>
      </c>
      <c r="BC88" s="688">
        <v>3</v>
      </c>
      <c r="BD88" s="688">
        <v>4</v>
      </c>
      <c r="BE88" s="688">
        <v>5</v>
      </c>
      <c r="BF88" s="688">
        <v>6</v>
      </c>
      <c r="BG88" s="688">
        <v>7</v>
      </c>
      <c r="BH88" s="688">
        <v>8</v>
      </c>
      <c r="BI88" s="688">
        <v>9</v>
      </c>
      <c r="BJ88" s="688">
        <v>10</v>
      </c>
      <c r="BK88" s="688">
        <v>11</v>
      </c>
      <c r="BL88" s="688">
        <v>12</v>
      </c>
      <c r="BM88" s="688">
        <v>13</v>
      </c>
      <c r="BN88" s="688">
        <v>14</v>
      </c>
      <c r="BO88" s="688">
        <v>15</v>
      </c>
      <c r="BP88" s="688">
        <v>16</v>
      </c>
      <c r="BQ88" s="688">
        <v>17</v>
      </c>
      <c r="BR88" s="688">
        <v>18</v>
      </c>
      <c r="BS88" s="688">
        <v>19</v>
      </c>
      <c r="BT88" s="688">
        <v>20</v>
      </c>
      <c r="BU88" s="688">
        <v>21</v>
      </c>
      <c r="BV88" s="688">
        <v>22</v>
      </c>
      <c r="BW88" s="688">
        <v>23</v>
      </c>
      <c r="BX88" s="688">
        <v>24</v>
      </c>
      <c r="BY88" s="688">
        <v>25</v>
      </c>
      <c r="BZ88" s="688">
        <v>26</v>
      </c>
      <c r="CA88" s="688">
        <v>27</v>
      </c>
      <c r="CB88" s="688">
        <v>28</v>
      </c>
      <c r="CC88" s="688">
        <v>29</v>
      </c>
      <c r="CD88" s="688">
        <v>30</v>
      </c>
      <c r="CE88" s="688">
        <v>31</v>
      </c>
      <c r="CF88" s="688">
        <v>32</v>
      </c>
      <c r="CG88" s="688">
        <v>33</v>
      </c>
      <c r="CH88" s="688">
        <v>34</v>
      </c>
      <c r="CI88" s="688">
        <v>35</v>
      </c>
      <c r="CJ88" s="688">
        <v>36</v>
      </c>
      <c r="CK88" s="688">
        <v>37</v>
      </c>
      <c r="CL88" s="688">
        <v>38</v>
      </c>
      <c r="CM88" s="688">
        <v>39</v>
      </c>
      <c r="CN88" s="688">
        <v>40</v>
      </c>
      <c r="CO88" s="688">
        <v>41</v>
      </c>
      <c r="CP88" s="688">
        <v>42</v>
      </c>
      <c r="CQ88" s="545"/>
    </row>
    <row r="89" spans="7:95" x14ac:dyDescent="0.35">
      <c r="H89" s="48" t="s">
        <v>212</v>
      </c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BA89" s="48" t="s">
        <v>212</v>
      </c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</row>
    <row r="90" spans="7:95" x14ac:dyDescent="0.35">
      <c r="H90" s="564" t="s">
        <v>218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7"/>
      <c r="AY90" s="47"/>
      <c r="BA90" s="564" t="s">
        <v>219</v>
      </c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7"/>
    </row>
    <row r="91" spans="7:95" x14ac:dyDescent="0.35">
      <c r="BW91" s="48"/>
      <c r="BX91" s="48"/>
      <c r="BY91" s="48"/>
    </row>
  </sheetData>
  <mergeCells count="6">
    <mergeCell ref="B4:CR4"/>
    <mergeCell ref="E9:E10"/>
    <mergeCell ref="D10:D11"/>
    <mergeCell ref="G15:AC15"/>
    <mergeCell ref="F20:F26"/>
    <mergeCell ref="CR20:CR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3558-1BC3-4DDC-9FF4-962E9BF508A8}">
  <dimension ref="A1:AE66"/>
  <sheetViews>
    <sheetView zoomScale="70" zoomScaleNormal="70" workbookViewId="0"/>
  </sheetViews>
  <sheetFormatPr baseColWidth="10" defaultRowHeight="13" x14ac:dyDescent="0.3"/>
  <cols>
    <col min="1" max="1" width="3.81640625" style="299" customWidth="1"/>
    <col min="2" max="2" width="27.1796875" style="299" customWidth="1"/>
    <col min="3" max="3" width="18.1796875" style="299" customWidth="1"/>
    <col min="4" max="4" width="18" style="299" customWidth="1"/>
    <col min="5" max="5" width="18.1796875" style="299" customWidth="1"/>
    <col min="6" max="6" width="24.08984375" style="299" customWidth="1"/>
    <col min="7" max="7" width="22.7265625" style="299" customWidth="1"/>
    <col min="8" max="8" width="0.90625" style="300" customWidth="1"/>
    <col min="9" max="9" width="5.26953125" style="300" customWidth="1"/>
    <col min="10" max="10" width="7" style="300" customWidth="1"/>
    <col min="11" max="11" width="6.36328125" style="300" customWidth="1"/>
    <col min="12" max="13" width="8.90625" style="300" customWidth="1"/>
    <col min="14" max="14" width="15.26953125" style="299" hidden="1" customWidth="1"/>
    <col min="15" max="15" width="15.54296875" style="301" hidden="1" customWidth="1"/>
    <col min="16" max="16" width="1.1796875" style="299" customWidth="1"/>
    <col min="17" max="17" width="14.54296875" style="299" customWidth="1"/>
    <col min="18" max="18" width="15.54296875" style="299" customWidth="1"/>
    <col min="19" max="19" width="9.453125" style="299" customWidth="1"/>
    <col min="20" max="20" width="14.453125" style="299" customWidth="1"/>
    <col min="21" max="21" width="15.1796875" style="299" customWidth="1"/>
    <col min="22" max="23" width="14.1796875" style="299" customWidth="1"/>
    <col min="24" max="24" width="6.81640625" style="299" customWidth="1"/>
    <col min="25" max="261" width="10.90625" style="299"/>
    <col min="262" max="262" width="9.54296875" style="299" customWidth="1"/>
    <col min="263" max="263" width="18.7265625" style="299" customWidth="1"/>
    <col min="264" max="264" width="18.26953125" style="299" customWidth="1"/>
    <col min="265" max="265" width="17.26953125" style="299" customWidth="1"/>
    <col min="266" max="266" width="22.81640625" style="299" customWidth="1"/>
    <col min="267" max="267" width="26.453125" style="299" customWidth="1"/>
    <col min="268" max="268" width="21.81640625" style="299" customWidth="1"/>
    <col min="269" max="269" width="8.26953125" style="299" customWidth="1"/>
    <col min="270" max="270" width="17" style="299" customWidth="1"/>
    <col min="271" max="271" width="19.54296875" style="299" customWidth="1"/>
    <col min="272" max="517" width="10.90625" style="299"/>
    <col min="518" max="518" width="9.54296875" style="299" customWidth="1"/>
    <col min="519" max="519" width="18.7265625" style="299" customWidth="1"/>
    <col min="520" max="520" width="18.26953125" style="299" customWidth="1"/>
    <col min="521" max="521" width="17.26953125" style="299" customWidth="1"/>
    <col min="522" max="522" width="22.81640625" style="299" customWidth="1"/>
    <col min="523" max="523" width="26.453125" style="299" customWidth="1"/>
    <col min="524" max="524" width="21.81640625" style="299" customWidth="1"/>
    <col min="525" max="525" width="8.26953125" style="299" customWidth="1"/>
    <col min="526" max="526" width="17" style="299" customWidth="1"/>
    <col min="527" max="527" width="19.54296875" style="299" customWidth="1"/>
    <col min="528" max="773" width="10.90625" style="299"/>
    <col min="774" max="774" width="9.54296875" style="299" customWidth="1"/>
    <col min="775" max="775" width="18.7265625" style="299" customWidth="1"/>
    <col min="776" max="776" width="18.26953125" style="299" customWidth="1"/>
    <col min="777" max="777" width="17.26953125" style="299" customWidth="1"/>
    <col min="778" max="778" width="22.81640625" style="299" customWidth="1"/>
    <col min="779" max="779" width="26.453125" style="299" customWidth="1"/>
    <col min="780" max="780" width="21.81640625" style="299" customWidth="1"/>
    <col min="781" max="781" width="8.26953125" style="299" customWidth="1"/>
    <col min="782" max="782" width="17" style="299" customWidth="1"/>
    <col min="783" max="783" width="19.54296875" style="299" customWidth="1"/>
    <col min="784" max="1029" width="10.90625" style="299"/>
    <col min="1030" max="1030" width="9.54296875" style="299" customWidth="1"/>
    <col min="1031" max="1031" width="18.7265625" style="299" customWidth="1"/>
    <col min="1032" max="1032" width="18.26953125" style="299" customWidth="1"/>
    <col min="1033" max="1033" width="17.26953125" style="299" customWidth="1"/>
    <col min="1034" max="1034" width="22.81640625" style="299" customWidth="1"/>
    <col min="1035" max="1035" width="26.453125" style="299" customWidth="1"/>
    <col min="1036" max="1036" width="21.81640625" style="299" customWidth="1"/>
    <col min="1037" max="1037" width="8.26953125" style="299" customWidth="1"/>
    <col min="1038" max="1038" width="17" style="299" customWidth="1"/>
    <col min="1039" max="1039" width="19.54296875" style="299" customWidth="1"/>
    <col min="1040" max="1285" width="10.90625" style="299"/>
    <col min="1286" max="1286" width="9.54296875" style="299" customWidth="1"/>
    <col min="1287" max="1287" width="18.7265625" style="299" customWidth="1"/>
    <col min="1288" max="1288" width="18.26953125" style="299" customWidth="1"/>
    <col min="1289" max="1289" width="17.26953125" style="299" customWidth="1"/>
    <col min="1290" max="1290" width="22.81640625" style="299" customWidth="1"/>
    <col min="1291" max="1291" width="26.453125" style="299" customWidth="1"/>
    <col min="1292" max="1292" width="21.81640625" style="299" customWidth="1"/>
    <col min="1293" max="1293" width="8.26953125" style="299" customWidth="1"/>
    <col min="1294" max="1294" width="17" style="299" customWidth="1"/>
    <col min="1295" max="1295" width="19.54296875" style="299" customWidth="1"/>
    <col min="1296" max="1541" width="10.90625" style="299"/>
    <col min="1542" max="1542" width="9.54296875" style="299" customWidth="1"/>
    <col min="1543" max="1543" width="18.7265625" style="299" customWidth="1"/>
    <col min="1544" max="1544" width="18.26953125" style="299" customWidth="1"/>
    <col min="1545" max="1545" width="17.26953125" style="299" customWidth="1"/>
    <col min="1546" max="1546" width="22.81640625" style="299" customWidth="1"/>
    <col min="1547" max="1547" width="26.453125" style="299" customWidth="1"/>
    <col min="1548" max="1548" width="21.81640625" style="299" customWidth="1"/>
    <col min="1549" max="1549" width="8.26953125" style="299" customWidth="1"/>
    <col min="1550" max="1550" width="17" style="299" customWidth="1"/>
    <col min="1551" max="1551" width="19.54296875" style="299" customWidth="1"/>
    <col min="1552" max="1797" width="10.90625" style="299"/>
    <col min="1798" max="1798" width="9.54296875" style="299" customWidth="1"/>
    <col min="1799" max="1799" width="18.7265625" style="299" customWidth="1"/>
    <col min="1800" max="1800" width="18.26953125" style="299" customWidth="1"/>
    <col min="1801" max="1801" width="17.26953125" style="299" customWidth="1"/>
    <col min="1802" max="1802" width="22.81640625" style="299" customWidth="1"/>
    <col min="1803" max="1803" width="26.453125" style="299" customWidth="1"/>
    <col min="1804" max="1804" width="21.81640625" style="299" customWidth="1"/>
    <col min="1805" max="1805" width="8.26953125" style="299" customWidth="1"/>
    <col min="1806" max="1806" width="17" style="299" customWidth="1"/>
    <col min="1807" max="1807" width="19.54296875" style="299" customWidth="1"/>
    <col min="1808" max="2053" width="10.90625" style="299"/>
    <col min="2054" max="2054" width="9.54296875" style="299" customWidth="1"/>
    <col min="2055" max="2055" width="18.7265625" style="299" customWidth="1"/>
    <col min="2056" max="2056" width="18.26953125" style="299" customWidth="1"/>
    <col min="2057" max="2057" width="17.26953125" style="299" customWidth="1"/>
    <col min="2058" max="2058" width="22.81640625" style="299" customWidth="1"/>
    <col min="2059" max="2059" width="26.453125" style="299" customWidth="1"/>
    <col min="2060" max="2060" width="21.81640625" style="299" customWidth="1"/>
    <col min="2061" max="2061" width="8.26953125" style="299" customWidth="1"/>
    <col min="2062" max="2062" width="17" style="299" customWidth="1"/>
    <col min="2063" max="2063" width="19.54296875" style="299" customWidth="1"/>
    <col min="2064" max="2309" width="10.90625" style="299"/>
    <col min="2310" max="2310" width="9.54296875" style="299" customWidth="1"/>
    <col min="2311" max="2311" width="18.7265625" style="299" customWidth="1"/>
    <col min="2312" max="2312" width="18.26953125" style="299" customWidth="1"/>
    <col min="2313" max="2313" width="17.26953125" style="299" customWidth="1"/>
    <col min="2314" max="2314" width="22.81640625" style="299" customWidth="1"/>
    <col min="2315" max="2315" width="26.453125" style="299" customWidth="1"/>
    <col min="2316" max="2316" width="21.81640625" style="299" customWidth="1"/>
    <col min="2317" max="2317" width="8.26953125" style="299" customWidth="1"/>
    <col min="2318" max="2318" width="17" style="299" customWidth="1"/>
    <col min="2319" max="2319" width="19.54296875" style="299" customWidth="1"/>
    <col min="2320" max="2565" width="10.90625" style="299"/>
    <col min="2566" max="2566" width="9.54296875" style="299" customWidth="1"/>
    <col min="2567" max="2567" width="18.7265625" style="299" customWidth="1"/>
    <col min="2568" max="2568" width="18.26953125" style="299" customWidth="1"/>
    <col min="2569" max="2569" width="17.26953125" style="299" customWidth="1"/>
    <col min="2570" max="2570" width="22.81640625" style="299" customWidth="1"/>
    <col min="2571" max="2571" width="26.453125" style="299" customWidth="1"/>
    <col min="2572" max="2572" width="21.81640625" style="299" customWidth="1"/>
    <col min="2573" max="2573" width="8.26953125" style="299" customWidth="1"/>
    <col min="2574" max="2574" width="17" style="299" customWidth="1"/>
    <col min="2575" max="2575" width="19.54296875" style="299" customWidth="1"/>
    <col min="2576" max="2821" width="10.90625" style="299"/>
    <col min="2822" max="2822" width="9.54296875" style="299" customWidth="1"/>
    <col min="2823" max="2823" width="18.7265625" style="299" customWidth="1"/>
    <col min="2824" max="2824" width="18.26953125" style="299" customWidth="1"/>
    <col min="2825" max="2825" width="17.26953125" style="299" customWidth="1"/>
    <col min="2826" max="2826" width="22.81640625" style="299" customWidth="1"/>
    <col min="2827" max="2827" width="26.453125" style="299" customWidth="1"/>
    <col min="2828" max="2828" width="21.81640625" style="299" customWidth="1"/>
    <col min="2829" max="2829" width="8.26953125" style="299" customWidth="1"/>
    <col min="2830" max="2830" width="17" style="299" customWidth="1"/>
    <col min="2831" max="2831" width="19.54296875" style="299" customWidth="1"/>
    <col min="2832" max="3077" width="10.90625" style="299"/>
    <col min="3078" max="3078" width="9.54296875" style="299" customWidth="1"/>
    <col min="3079" max="3079" width="18.7265625" style="299" customWidth="1"/>
    <col min="3080" max="3080" width="18.26953125" style="299" customWidth="1"/>
    <col min="3081" max="3081" width="17.26953125" style="299" customWidth="1"/>
    <col min="3082" max="3082" width="22.81640625" style="299" customWidth="1"/>
    <col min="3083" max="3083" width="26.453125" style="299" customWidth="1"/>
    <col min="3084" max="3084" width="21.81640625" style="299" customWidth="1"/>
    <col min="3085" max="3085" width="8.26953125" style="299" customWidth="1"/>
    <col min="3086" max="3086" width="17" style="299" customWidth="1"/>
    <col min="3087" max="3087" width="19.54296875" style="299" customWidth="1"/>
    <col min="3088" max="3333" width="10.90625" style="299"/>
    <col min="3334" max="3334" width="9.54296875" style="299" customWidth="1"/>
    <col min="3335" max="3335" width="18.7265625" style="299" customWidth="1"/>
    <col min="3336" max="3336" width="18.26953125" style="299" customWidth="1"/>
    <col min="3337" max="3337" width="17.26953125" style="299" customWidth="1"/>
    <col min="3338" max="3338" width="22.81640625" style="299" customWidth="1"/>
    <col min="3339" max="3339" width="26.453125" style="299" customWidth="1"/>
    <col min="3340" max="3340" width="21.81640625" style="299" customWidth="1"/>
    <col min="3341" max="3341" width="8.26953125" style="299" customWidth="1"/>
    <col min="3342" max="3342" width="17" style="299" customWidth="1"/>
    <col min="3343" max="3343" width="19.54296875" style="299" customWidth="1"/>
    <col min="3344" max="3589" width="10.90625" style="299"/>
    <col min="3590" max="3590" width="9.54296875" style="299" customWidth="1"/>
    <col min="3591" max="3591" width="18.7265625" style="299" customWidth="1"/>
    <col min="3592" max="3592" width="18.26953125" style="299" customWidth="1"/>
    <col min="3593" max="3593" width="17.26953125" style="299" customWidth="1"/>
    <col min="3594" max="3594" width="22.81640625" style="299" customWidth="1"/>
    <col min="3595" max="3595" width="26.453125" style="299" customWidth="1"/>
    <col min="3596" max="3596" width="21.81640625" style="299" customWidth="1"/>
    <col min="3597" max="3597" width="8.26953125" style="299" customWidth="1"/>
    <col min="3598" max="3598" width="17" style="299" customWidth="1"/>
    <col min="3599" max="3599" width="19.54296875" style="299" customWidth="1"/>
    <col min="3600" max="3845" width="10.90625" style="299"/>
    <col min="3846" max="3846" width="9.54296875" style="299" customWidth="1"/>
    <col min="3847" max="3847" width="18.7265625" style="299" customWidth="1"/>
    <col min="3848" max="3848" width="18.26953125" style="299" customWidth="1"/>
    <col min="3849" max="3849" width="17.26953125" style="299" customWidth="1"/>
    <col min="3850" max="3850" width="22.81640625" style="299" customWidth="1"/>
    <col min="3851" max="3851" width="26.453125" style="299" customWidth="1"/>
    <col min="3852" max="3852" width="21.81640625" style="299" customWidth="1"/>
    <col min="3853" max="3853" width="8.26953125" style="299" customWidth="1"/>
    <col min="3854" max="3854" width="17" style="299" customWidth="1"/>
    <col min="3855" max="3855" width="19.54296875" style="299" customWidth="1"/>
    <col min="3856" max="4101" width="10.90625" style="299"/>
    <col min="4102" max="4102" width="9.54296875" style="299" customWidth="1"/>
    <col min="4103" max="4103" width="18.7265625" style="299" customWidth="1"/>
    <col min="4104" max="4104" width="18.26953125" style="299" customWidth="1"/>
    <col min="4105" max="4105" width="17.26953125" style="299" customWidth="1"/>
    <col min="4106" max="4106" width="22.81640625" style="299" customWidth="1"/>
    <col min="4107" max="4107" width="26.453125" style="299" customWidth="1"/>
    <col min="4108" max="4108" width="21.81640625" style="299" customWidth="1"/>
    <col min="4109" max="4109" width="8.26953125" style="299" customWidth="1"/>
    <col min="4110" max="4110" width="17" style="299" customWidth="1"/>
    <col min="4111" max="4111" width="19.54296875" style="299" customWidth="1"/>
    <col min="4112" max="4357" width="10.90625" style="299"/>
    <col min="4358" max="4358" width="9.54296875" style="299" customWidth="1"/>
    <col min="4359" max="4359" width="18.7265625" style="299" customWidth="1"/>
    <col min="4360" max="4360" width="18.26953125" style="299" customWidth="1"/>
    <col min="4361" max="4361" width="17.26953125" style="299" customWidth="1"/>
    <col min="4362" max="4362" width="22.81640625" style="299" customWidth="1"/>
    <col min="4363" max="4363" width="26.453125" style="299" customWidth="1"/>
    <col min="4364" max="4364" width="21.81640625" style="299" customWidth="1"/>
    <col min="4365" max="4365" width="8.26953125" style="299" customWidth="1"/>
    <col min="4366" max="4366" width="17" style="299" customWidth="1"/>
    <col min="4367" max="4367" width="19.54296875" style="299" customWidth="1"/>
    <col min="4368" max="4613" width="10.90625" style="299"/>
    <col min="4614" max="4614" width="9.54296875" style="299" customWidth="1"/>
    <col min="4615" max="4615" width="18.7265625" style="299" customWidth="1"/>
    <col min="4616" max="4616" width="18.26953125" style="299" customWidth="1"/>
    <col min="4617" max="4617" width="17.26953125" style="299" customWidth="1"/>
    <col min="4618" max="4618" width="22.81640625" style="299" customWidth="1"/>
    <col min="4619" max="4619" width="26.453125" style="299" customWidth="1"/>
    <col min="4620" max="4620" width="21.81640625" style="299" customWidth="1"/>
    <col min="4621" max="4621" width="8.26953125" style="299" customWidth="1"/>
    <col min="4622" max="4622" width="17" style="299" customWidth="1"/>
    <col min="4623" max="4623" width="19.54296875" style="299" customWidth="1"/>
    <col min="4624" max="4869" width="10.90625" style="299"/>
    <col min="4870" max="4870" width="9.54296875" style="299" customWidth="1"/>
    <col min="4871" max="4871" width="18.7265625" style="299" customWidth="1"/>
    <col min="4872" max="4872" width="18.26953125" style="299" customWidth="1"/>
    <col min="4873" max="4873" width="17.26953125" style="299" customWidth="1"/>
    <col min="4874" max="4874" width="22.81640625" style="299" customWidth="1"/>
    <col min="4875" max="4875" width="26.453125" style="299" customWidth="1"/>
    <col min="4876" max="4876" width="21.81640625" style="299" customWidth="1"/>
    <col min="4877" max="4877" width="8.26953125" style="299" customWidth="1"/>
    <col min="4878" max="4878" width="17" style="299" customWidth="1"/>
    <col min="4879" max="4879" width="19.54296875" style="299" customWidth="1"/>
    <col min="4880" max="5125" width="10.90625" style="299"/>
    <col min="5126" max="5126" width="9.54296875" style="299" customWidth="1"/>
    <col min="5127" max="5127" width="18.7265625" style="299" customWidth="1"/>
    <col min="5128" max="5128" width="18.26953125" style="299" customWidth="1"/>
    <col min="5129" max="5129" width="17.26953125" style="299" customWidth="1"/>
    <col min="5130" max="5130" width="22.81640625" style="299" customWidth="1"/>
    <col min="5131" max="5131" width="26.453125" style="299" customWidth="1"/>
    <col min="5132" max="5132" width="21.81640625" style="299" customWidth="1"/>
    <col min="5133" max="5133" width="8.26953125" style="299" customWidth="1"/>
    <col min="5134" max="5134" width="17" style="299" customWidth="1"/>
    <col min="5135" max="5135" width="19.54296875" style="299" customWidth="1"/>
    <col min="5136" max="5381" width="10.90625" style="299"/>
    <col min="5382" max="5382" width="9.54296875" style="299" customWidth="1"/>
    <col min="5383" max="5383" width="18.7265625" style="299" customWidth="1"/>
    <col min="5384" max="5384" width="18.26953125" style="299" customWidth="1"/>
    <col min="5385" max="5385" width="17.26953125" style="299" customWidth="1"/>
    <col min="5386" max="5386" width="22.81640625" style="299" customWidth="1"/>
    <col min="5387" max="5387" width="26.453125" style="299" customWidth="1"/>
    <col min="5388" max="5388" width="21.81640625" style="299" customWidth="1"/>
    <col min="5389" max="5389" width="8.26953125" style="299" customWidth="1"/>
    <col min="5390" max="5390" width="17" style="299" customWidth="1"/>
    <col min="5391" max="5391" width="19.54296875" style="299" customWidth="1"/>
    <col min="5392" max="5637" width="10.90625" style="299"/>
    <col min="5638" max="5638" width="9.54296875" style="299" customWidth="1"/>
    <col min="5639" max="5639" width="18.7265625" style="299" customWidth="1"/>
    <col min="5640" max="5640" width="18.26953125" style="299" customWidth="1"/>
    <col min="5641" max="5641" width="17.26953125" style="299" customWidth="1"/>
    <col min="5642" max="5642" width="22.81640625" style="299" customWidth="1"/>
    <col min="5643" max="5643" width="26.453125" style="299" customWidth="1"/>
    <col min="5644" max="5644" width="21.81640625" style="299" customWidth="1"/>
    <col min="5645" max="5645" width="8.26953125" style="299" customWidth="1"/>
    <col min="5646" max="5646" width="17" style="299" customWidth="1"/>
    <col min="5647" max="5647" width="19.54296875" style="299" customWidth="1"/>
    <col min="5648" max="5893" width="10.90625" style="299"/>
    <col min="5894" max="5894" width="9.54296875" style="299" customWidth="1"/>
    <col min="5895" max="5895" width="18.7265625" style="299" customWidth="1"/>
    <col min="5896" max="5896" width="18.26953125" style="299" customWidth="1"/>
    <col min="5897" max="5897" width="17.26953125" style="299" customWidth="1"/>
    <col min="5898" max="5898" width="22.81640625" style="299" customWidth="1"/>
    <col min="5899" max="5899" width="26.453125" style="299" customWidth="1"/>
    <col min="5900" max="5900" width="21.81640625" style="299" customWidth="1"/>
    <col min="5901" max="5901" width="8.26953125" style="299" customWidth="1"/>
    <col min="5902" max="5902" width="17" style="299" customWidth="1"/>
    <col min="5903" max="5903" width="19.54296875" style="299" customWidth="1"/>
    <col min="5904" max="6149" width="10.90625" style="299"/>
    <col min="6150" max="6150" width="9.54296875" style="299" customWidth="1"/>
    <col min="6151" max="6151" width="18.7265625" style="299" customWidth="1"/>
    <col min="6152" max="6152" width="18.26953125" style="299" customWidth="1"/>
    <col min="6153" max="6153" width="17.26953125" style="299" customWidth="1"/>
    <col min="6154" max="6154" width="22.81640625" style="299" customWidth="1"/>
    <col min="6155" max="6155" width="26.453125" style="299" customWidth="1"/>
    <col min="6156" max="6156" width="21.81640625" style="299" customWidth="1"/>
    <col min="6157" max="6157" width="8.26953125" style="299" customWidth="1"/>
    <col min="6158" max="6158" width="17" style="299" customWidth="1"/>
    <col min="6159" max="6159" width="19.54296875" style="299" customWidth="1"/>
    <col min="6160" max="6405" width="10.90625" style="299"/>
    <col min="6406" max="6406" width="9.54296875" style="299" customWidth="1"/>
    <col min="6407" max="6407" width="18.7265625" style="299" customWidth="1"/>
    <col min="6408" max="6408" width="18.26953125" style="299" customWidth="1"/>
    <col min="6409" max="6409" width="17.26953125" style="299" customWidth="1"/>
    <col min="6410" max="6410" width="22.81640625" style="299" customWidth="1"/>
    <col min="6411" max="6411" width="26.453125" style="299" customWidth="1"/>
    <col min="6412" max="6412" width="21.81640625" style="299" customWidth="1"/>
    <col min="6413" max="6413" width="8.26953125" style="299" customWidth="1"/>
    <col min="6414" max="6414" width="17" style="299" customWidth="1"/>
    <col min="6415" max="6415" width="19.54296875" style="299" customWidth="1"/>
    <col min="6416" max="6661" width="10.90625" style="299"/>
    <col min="6662" max="6662" width="9.54296875" style="299" customWidth="1"/>
    <col min="6663" max="6663" width="18.7265625" style="299" customWidth="1"/>
    <col min="6664" max="6664" width="18.26953125" style="299" customWidth="1"/>
    <col min="6665" max="6665" width="17.26953125" style="299" customWidth="1"/>
    <col min="6666" max="6666" width="22.81640625" style="299" customWidth="1"/>
    <col min="6667" max="6667" width="26.453125" style="299" customWidth="1"/>
    <col min="6668" max="6668" width="21.81640625" style="299" customWidth="1"/>
    <col min="6669" max="6669" width="8.26953125" style="299" customWidth="1"/>
    <col min="6670" max="6670" width="17" style="299" customWidth="1"/>
    <col min="6671" max="6671" width="19.54296875" style="299" customWidth="1"/>
    <col min="6672" max="6917" width="10.90625" style="299"/>
    <col min="6918" max="6918" width="9.54296875" style="299" customWidth="1"/>
    <col min="6919" max="6919" width="18.7265625" style="299" customWidth="1"/>
    <col min="6920" max="6920" width="18.26953125" style="299" customWidth="1"/>
    <col min="6921" max="6921" width="17.26953125" style="299" customWidth="1"/>
    <col min="6922" max="6922" width="22.81640625" style="299" customWidth="1"/>
    <col min="6923" max="6923" width="26.453125" style="299" customWidth="1"/>
    <col min="6924" max="6924" width="21.81640625" style="299" customWidth="1"/>
    <col min="6925" max="6925" width="8.26953125" style="299" customWidth="1"/>
    <col min="6926" max="6926" width="17" style="299" customWidth="1"/>
    <col min="6927" max="6927" width="19.54296875" style="299" customWidth="1"/>
    <col min="6928" max="7173" width="10.90625" style="299"/>
    <col min="7174" max="7174" width="9.54296875" style="299" customWidth="1"/>
    <col min="7175" max="7175" width="18.7265625" style="299" customWidth="1"/>
    <col min="7176" max="7176" width="18.26953125" style="299" customWidth="1"/>
    <col min="7177" max="7177" width="17.26953125" style="299" customWidth="1"/>
    <col min="7178" max="7178" width="22.81640625" style="299" customWidth="1"/>
    <col min="7179" max="7179" width="26.453125" style="299" customWidth="1"/>
    <col min="7180" max="7180" width="21.81640625" style="299" customWidth="1"/>
    <col min="7181" max="7181" width="8.26953125" style="299" customWidth="1"/>
    <col min="7182" max="7182" width="17" style="299" customWidth="1"/>
    <col min="7183" max="7183" width="19.54296875" style="299" customWidth="1"/>
    <col min="7184" max="7429" width="10.90625" style="299"/>
    <col min="7430" max="7430" width="9.54296875" style="299" customWidth="1"/>
    <col min="7431" max="7431" width="18.7265625" style="299" customWidth="1"/>
    <col min="7432" max="7432" width="18.26953125" style="299" customWidth="1"/>
    <col min="7433" max="7433" width="17.26953125" style="299" customWidth="1"/>
    <col min="7434" max="7434" width="22.81640625" style="299" customWidth="1"/>
    <col min="7435" max="7435" width="26.453125" style="299" customWidth="1"/>
    <col min="7436" max="7436" width="21.81640625" style="299" customWidth="1"/>
    <col min="7437" max="7437" width="8.26953125" style="299" customWidth="1"/>
    <col min="7438" max="7438" width="17" style="299" customWidth="1"/>
    <col min="7439" max="7439" width="19.54296875" style="299" customWidth="1"/>
    <col min="7440" max="7685" width="10.90625" style="299"/>
    <col min="7686" max="7686" width="9.54296875" style="299" customWidth="1"/>
    <col min="7687" max="7687" width="18.7265625" style="299" customWidth="1"/>
    <col min="7688" max="7688" width="18.26953125" style="299" customWidth="1"/>
    <col min="7689" max="7689" width="17.26953125" style="299" customWidth="1"/>
    <col min="7690" max="7690" width="22.81640625" style="299" customWidth="1"/>
    <col min="7691" max="7691" width="26.453125" style="299" customWidth="1"/>
    <col min="7692" max="7692" width="21.81640625" style="299" customWidth="1"/>
    <col min="7693" max="7693" width="8.26953125" style="299" customWidth="1"/>
    <col min="7694" max="7694" width="17" style="299" customWidth="1"/>
    <col min="7695" max="7695" width="19.54296875" style="299" customWidth="1"/>
    <col min="7696" max="7941" width="10.90625" style="299"/>
    <col min="7942" max="7942" width="9.54296875" style="299" customWidth="1"/>
    <col min="7943" max="7943" width="18.7265625" style="299" customWidth="1"/>
    <col min="7944" max="7944" width="18.26953125" style="299" customWidth="1"/>
    <col min="7945" max="7945" width="17.26953125" style="299" customWidth="1"/>
    <col min="7946" max="7946" width="22.81640625" style="299" customWidth="1"/>
    <col min="7947" max="7947" width="26.453125" style="299" customWidth="1"/>
    <col min="7948" max="7948" width="21.81640625" style="299" customWidth="1"/>
    <col min="7949" max="7949" width="8.26953125" style="299" customWidth="1"/>
    <col min="7950" max="7950" width="17" style="299" customWidth="1"/>
    <col min="7951" max="7951" width="19.54296875" style="299" customWidth="1"/>
    <col min="7952" max="8197" width="10.90625" style="299"/>
    <col min="8198" max="8198" width="9.54296875" style="299" customWidth="1"/>
    <col min="8199" max="8199" width="18.7265625" style="299" customWidth="1"/>
    <col min="8200" max="8200" width="18.26953125" style="299" customWidth="1"/>
    <col min="8201" max="8201" width="17.26953125" style="299" customWidth="1"/>
    <col min="8202" max="8202" width="22.81640625" style="299" customWidth="1"/>
    <col min="8203" max="8203" width="26.453125" style="299" customWidth="1"/>
    <col min="8204" max="8204" width="21.81640625" style="299" customWidth="1"/>
    <col min="8205" max="8205" width="8.26953125" style="299" customWidth="1"/>
    <col min="8206" max="8206" width="17" style="299" customWidth="1"/>
    <col min="8207" max="8207" width="19.54296875" style="299" customWidth="1"/>
    <col min="8208" max="8453" width="10.90625" style="299"/>
    <col min="8454" max="8454" width="9.54296875" style="299" customWidth="1"/>
    <col min="8455" max="8455" width="18.7265625" style="299" customWidth="1"/>
    <col min="8456" max="8456" width="18.26953125" style="299" customWidth="1"/>
    <col min="8457" max="8457" width="17.26953125" style="299" customWidth="1"/>
    <col min="8458" max="8458" width="22.81640625" style="299" customWidth="1"/>
    <col min="8459" max="8459" width="26.453125" style="299" customWidth="1"/>
    <col min="8460" max="8460" width="21.81640625" style="299" customWidth="1"/>
    <col min="8461" max="8461" width="8.26953125" style="299" customWidth="1"/>
    <col min="8462" max="8462" width="17" style="299" customWidth="1"/>
    <col min="8463" max="8463" width="19.54296875" style="299" customWidth="1"/>
    <col min="8464" max="8709" width="10.90625" style="299"/>
    <col min="8710" max="8710" width="9.54296875" style="299" customWidth="1"/>
    <col min="8711" max="8711" width="18.7265625" style="299" customWidth="1"/>
    <col min="8712" max="8712" width="18.26953125" style="299" customWidth="1"/>
    <col min="8713" max="8713" width="17.26953125" style="299" customWidth="1"/>
    <col min="8714" max="8714" width="22.81640625" style="299" customWidth="1"/>
    <col min="8715" max="8715" width="26.453125" style="299" customWidth="1"/>
    <col min="8716" max="8716" width="21.81640625" style="299" customWidth="1"/>
    <col min="8717" max="8717" width="8.26953125" style="299" customWidth="1"/>
    <col min="8718" max="8718" width="17" style="299" customWidth="1"/>
    <col min="8719" max="8719" width="19.54296875" style="299" customWidth="1"/>
    <col min="8720" max="8965" width="10.90625" style="299"/>
    <col min="8966" max="8966" width="9.54296875" style="299" customWidth="1"/>
    <col min="8967" max="8967" width="18.7265625" style="299" customWidth="1"/>
    <col min="8968" max="8968" width="18.26953125" style="299" customWidth="1"/>
    <col min="8969" max="8969" width="17.26953125" style="299" customWidth="1"/>
    <col min="8970" max="8970" width="22.81640625" style="299" customWidth="1"/>
    <col min="8971" max="8971" width="26.453125" style="299" customWidth="1"/>
    <col min="8972" max="8972" width="21.81640625" style="299" customWidth="1"/>
    <col min="8973" max="8973" width="8.26953125" style="299" customWidth="1"/>
    <col min="8974" max="8974" width="17" style="299" customWidth="1"/>
    <col min="8975" max="8975" width="19.54296875" style="299" customWidth="1"/>
    <col min="8976" max="9221" width="10.90625" style="299"/>
    <col min="9222" max="9222" width="9.54296875" style="299" customWidth="1"/>
    <col min="9223" max="9223" width="18.7265625" style="299" customWidth="1"/>
    <col min="9224" max="9224" width="18.26953125" style="299" customWidth="1"/>
    <col min="9225" max="9225" width="17.26953125" style="299" customWidth="1"/>
    <col min="9226" max="9226" width="22.81640625" style="299" customWidth="1"/>
    <col min="9227" max="9227" width="26.453125" style="299" customWidth="1"/>
    <col min="9228" max="9228" width="21.81640625" style="299" customWidth="1"/>
    <col min="9229" max="9229" width="8.26953125" style="299" customWidth="1"/>
    <col min="9230" max="9230" width="17" style="299" customWidth="1"/>
    <col min="9231" max="9231" width="19.54296875" style="299" customWidth="1"/>
    <col min="9232" max="9477" width="10.90625" style="299"/>
    <col min="9478" max="9478" width="9.54296875" style="299" customWidth="1"/>
    <col min="9479" max="9479" width="18.7265625" style="299" customWidth="1"/>
    <col min="9480" max="9480" width="18.26953125" style="299" customWidth="1"/>
    <col min="9481" max="9481" width="17.26953125" style="299" customWidth="1"/>
    <col min="9482" max="9482" width="22.81640625" style="299" customWidth="1"/>
    <col min="9483" max="9483" width="26.453125" style="299" customWidth="1"/>
    <col min="9484" max="9484" width="21.81640625" style="299" customWidth="1"/>
    <col min="9485" max="9485" width="8.26953125" style="299" customWidth="1"/>
    <col min="9486" max="9486" width="17" style="299" customWidth="1"/>
    <col min="9487" max="9487" width="19.54296875" style="299" customWidth="1"/>
    <col min="9488" max="9733" width="10.90625" style="299"/>
    <col min="9734" max="9734" width="9.54296875" style="299" customWidth="1"/>
    <col min="9735" max="9735" width="18.7265625" style="299" customWidth="1"/>
    <col min="9736" max="9736" width="18.26953125" style="299" customWidth="1"/>
    <col min="9737" max="9737" width="17.26953125" style="299" customWidth="1"/>
    <col min="9738" max="9738" width="22.81640625" style="299" customWidth="1"/>
    <col min="9739" max="9739" width="26.453125" style="299" customWidth="1"/>
    <col min="9740" max="9740" width="21.81640625" style="299" customWidth="1"/>
    <col min="9741" max="9741" width="8.26953125" style="299" customWidth="1"/>
    <col min="9742" max="9742" width="17" style="299" customWidth="1"/>
    <col min="9743" max="9743" width="19.54296875" style="299" customWidth="1"/>
    <col min="9744" max="9989" width="10.90625" style="299"/>
    <col min="9990" max="9990" width="9.54296875" style="299" customWidth="1"/>
    <col min="9991" max="9991" width="18.7265625" style="299" customWidth="1"/>
    <col min="9992" max="9992" width="18.26953125" style="299" customWidth="1"/>
    <col min="9993" max="9993" width="17.26953125" style="299" customWidth="1"/>
    <col min="9994" max="9994" width="22.81640625" style="299" customWidth="1"/>
    <col min="9995" max="9995" width="26.453125" style="299" customWidth="1"/>
    <col min="9996" max="9996" width="21.81640625" style="299" customWidth="1"/>
    <col min="9997" max="9997" width="8.26953125" style="299" customWidth="1"/>
    <col min="9998" max="9998" width="17" style="299" customWidth="1"/>
    <col min="9999" max="9999" width="19.54296875" style="299" customWidth="1"/>
    <col min="10000" max="10245" width="10.90625" style="299"/>
    <col min="10246" max="10246" width="9.54296875" style="299" customWidth="1"/>
    <col min="10247" max="10247" width="18.7265625" style="299" customWidth="1"/>
    <col min="10248" max="10248" width="18.26953125" style="299" customWidth="1"/>
    <col min="10249" max="10249" width="17.26953125" style="299" customWidth="1"/>
    <col min="10250" max="10250" width="22.81640625" style="299" customWidth="1"/>
    <col min="10251" max="10251" width="26.453125" style="299" customWidth="1"/>
    <col min="10252" max="10252" width="21.81640625" style="299" customWidth="1"/>
    <col min="10253" max="10253" width="8.26953125" style="299" customWidth="1"/>
    <col min="10254" max="10254" width="17" style="299" customWidth="1"/>
    <col min="10255" max="10255" width="19.54296875" style="299" customWidth="1"/>
    <col min="10256" max="10501" width="10.90625" style="299"/>
    <col min="10502" max="10502" width="9.54296875" style="299" customWidth="1"/>
    <col min="10503" max="10503" width="18.7265625" style="299" customWidth="1"/>
    <col min="10504" max="10504" width="18.26953125" style="299" customWidth="1"/>
    <col min="10505" max="10505" width="17.26953125" style="299" customWidth="1"/>
    <col min="10506" max="10506" width="22.81640625" style="299" customWidth="1"/>
    <col min="10507" max="10507" width="26.453125" style="299" customWidth="1"/>
    <col min="10508" max="10508" width="21.81640625" style="299" customWidth="1"/>
    <col min="10509" max="10509" width="8.26953125" style="299" customWidth="1"/>
    <col min="10510" max="10510" width="17" style="299" customWidth="1"/>
    <col min="10511" max="10511" width="19.54296875" style="299" customWidth="1"/>
    <col min="10512" max="10757" width="10.90625" style="299"/>
    <col min="10758" max="10758" width="9.54296875" style="299" customWidth="1"/>
    <col min="10759" max="10759" width="18.7265625" style="299" customWidth="1"/>
    <col min="10760" max="10760" width="18.26953125" style="299" customWidth="1"/>
    <col min="10761" max="10761" width="17.26953125" style="299" customWidth="1"/>
    <col min="10762" max="10762" width="22.81640625" style="299" customWidth="1"/>
    <col min="10763" max="10763" width="26.453125" style="299" customWidth="1"/>
    <col min="10764" max="10764" width="21.81640625" style="299" customWidth="1"/>
    <col min="10765" max="10765" width="8.26953125" style="299" customWidth="1"/>
    <col min="10766" max="10766" width="17" style="299" customWidth="1"/>
    <col min="10767" max="10767" width="19.54296875" style="299" customWidth="1"/>
    <col min="10768" max="11013" width="10.90625" style="299"/>
    <col min="11014" max="11014" width="9.54296875" style="299" customWidth="1"/>
    <col min="11015" max="11015" width="18.7265625" style="299" customWidth="1"/>
    <col min="11016" max="11016" width="18.26953125" style="299" customWidth="1"/>
    <col min="11017" max="11017" width="17.26953125" style="299" customWidth="1"/>
    <col min="11018" max="11018" width="22.81640625" style="299" customWidth="1"/>
    <col min="11019" max="11019" width="26.453125" style="299" customWidth="1"/>
    <col min="11020" max="11020" width="21.81640625" style="299" customWidth="1"/>
    <col min="11021" max="11021" width="8.26953125" style="299" customWidth="1"/>
    <col min="11022" max="11022" width="17" style="299" customWidth="1"/>
    <col min="11023" max="11023" width="19.54296875" style="299" customWidth="1"/>
    <col min="11024" max="11269" width="10.90625" style="299"/>
    <col min="11270" max="11270" width="9.54296875" style="299" customWidth="1"/>
    <col min="11271" max="11271" width="18.7265625" style="299" customWidth="1"/>
    <col min="11272" max="11272" width="18.26953125" style="299" customWidth="1"/>
    <col min="11273" max="11273" width="17.26953125" style="299" customWidth="1"/>
    <col min="11274" max="11274" width="22.81640625" style="299" customWidth="1"/>
    <col min="11275" max="11275" width="26.453125" style="299" customWidth="1"/>
    <col min="11276" max="11276" width="21.81640625" style="299" customWidth="1"/>
    <col min="11277" max="11277" width="8.26953125" style="299" customWidth="1"/>
    <col min="11278" max="11278" width="17" style="299" customWidth="1"/>
    <col min="11279" max="11279" width="19.54296875" style="299" customWidth="1"/>
    <col min="11280" max="11525" width="10.90625" style="299"/>
    <col min="11526" max="11526" width="9.54296875" style="299" customWidth="1"/>
    <col min="11527" max="11527" width="18.7265625" style="299" customWidth="1"/>
    <col min="11528" max="11528" width="18.26953125" style="299" customWidth="1"/>
    <col min="11529" max="11529" width="17.26953125" style="299" customWidth="1"/>
    <col min="11530" max="11530" width="22.81640625" style="299" customWidth="1"/>
    <col min="11531" max="11531" width="26.453125" style="299" customWidth="1"/>
    <col min="11532" max="11532" width="21.81640625" style="299" customWidth="1"/>
    <col min="11533" max="11533" width="8.26953125" style="299" customWidth="1"/>
    <col min="11534" max="11534" width="17" style="299" customWidth="1"/>
    <col min="11535" max="11535" width="19.54296875" style="299" customWidth="1"/>
    <col min="11536" max="11781" width="10.90625" style="299"/>
    <col min="11782" max="11782" width="9.54296875" style="299" customWidth="1"/>
    <col min="11783" max="11783" width="18.7265625" style="299" customWidth="1"/>
    <col min="11784" max="11784" width="18.26953125" style="299" customWidth="1"/>
    <col min="11785" max="11785" width="17.26953125" style="299" customWidth="1"/>
    <col min="11786" max="11786" width="22.81640625" style="299" customWidth="1"/>
    <col min="11787" max="11787" width="26.453125" style="299" customWidth="1"/>
    <col min="11788" max="11788" width="21.81640625" style="299" customWidth="1"/>
    <col min="11789" max="11789" width="8.26953125" style="299" customWidth="1"/>
    <col min="11790" max="11790" width="17" style="299" customWidth="1"/>
    <col min="11791" max="11791" width="19.54296875" style="299" customWidth="1"/>
    <col min="11792" max="12037" width="10.90625" style="299"/>
    <col min="12038" max="12038" width="9.54296875" style="299" customWidth="1"/>
    <col min="12039" max="12039" width="18.7265625" style="299" customWidth="1"/>
    <col min="12040" max="12040" width="18.26953125" style="299" customWidth="1"/>
    <col min="12041" max="12041" width="17.26953125" style="299" customWidth="1"/>
    <col min="12042" max="12042" width="22.81640625" style="299" customWidth="1"/>
    <col min="12043" max="12043" width="26.453125" style="299" customWidth="1"/>
    <col min="12044" max="12044" width="21.81640625" style="299" customWidth="1"/>
    <col min="12045" max="12045" width="8.26953125" style="299" customWidth="1"/>
    <col min="12046" max="12046" width="17" style="299" customWidth="1"/>
    <col min="12047" max="12047" width="19.54296875" style="299" customWidth="1"/>
    <col min="12048" max="12293" width="10.90625" style="299"/>
    <col min="12294" max="12294" width="9.54296875" style="299" customWidth="1"/>
    <col min="12295" max="12295" width="18.7265625" style="299" customWidth="1"/>
    <col min="12296" max="12296" width="18.26953125" style="299" customWidth="1"/>
    <col min="12297" max="12297" width="17.26953125" style="299" customWidth="1"/>
    <col min="12298" max="12298" width="22.81640625" style="299" customWidth="1"/>
    <col min="12299" max="12299" width="26.453125" style="299" customWidth="1"/>
    <col min="12300" max="12300" width="21.81640625" style="299" customWidth="1"/>
    <col min="12301" max="12301" width="8.26953125" style="299" customWidth="1"/>
    <col min="12302" max="12302" width="17" style="299" customWidth="1"/>
    <col min="12303" max="12303" width="19.54296875" style="299" customWidth="1"/>
    <col min="12304" max="12549" width="10.90625" style="299"/>
    <col min="12550" max="12550" width="9.54296875" style="299" customWidth="1"/>
    <col min="12551" max="12551" width="18.7265625" style="299" customWidth="1"/>
    <col min="12552" max="12552" width="18.26953125" style="299" customWidth="1"/>
    <col min="12553" max="12553" width="17.26953125" style="299" customWidth="1"/>
    <col min="12554" max="12554" width="22.81640625" style="299" customWidth="1"/>
    <col min="12555" max="12555" width="26.453125" style="299" customWidth="1"/>
    <col min="12556" max="12556" width="21.81640625" style="299" customWidth="1"/>
    <col min="12557" max="12557" width="8.26953125" style="299" customWidth="1"/>
    <col min="12558" max="12558" width="17" style="299" customWidth="1"/>
    <col min="12559" max="12559" width="19.54296875" style="299" customWidth="1"/>
    <col min="12560" max="12805" width="10.90625" style="299"/>
    <col min="12806" max="12806" width="9.54296875" style="299" customWidth="1"/>
    <col min="12807" max="12807" width="18.7265625" style="299" customWidth="1"/>
    <col min="12808" max="12808" width="18.26953125" style="299" customWidth="1"/>
    <col min="12809" max="12809" width="17.26953125" style="299" customWidth="1"/>
    <col min="12810" max="12810" width="22.81640625" style="299" customWidth="1"/>
    <col min="12811" max="12811" width="26.453125" style="299" customWidth="1"/>
    <col min="12812" max="12812" width="21.81640625" style="299" customWidth="1"/>
    <col min="12813" max="12813" width="8.26953125" style="299" customWidth="1"/>
    <col min="12814" max="12814" width="17" style="299" customWidth="1"/>
    <col min="12815" max="12815" width="19.54296875" style="299" customWidth="1"/>
    <col min="12816" max="13061" width="10.90625" style="299"/>
    <col min="13062" max="13062" width="9.54296875" style="299" customWidth="1"/>
    <col min="13063" max="13063" width="18.7265625" style="299" customWidth="1"/>
    <col min="13064" max="13064" width="18.26953125" style="299" customWidth="1"/>
    <col min="13065" max="13065" width="17.26953125" style="299" customWidth="1"/>
    <col min="13066" max="13066" width="22.81640625" style="299" customWidth="1"/>
    <col min="13067" max="13067" width="26.453125" style="299" customWidth="1"/>
    <col min="13068" max="13068" width="21.81640625" style="299" customWidth="1"/>
    <col min="13069" max="13069" width="8.26953125" style="299" customWidth="1"/>
    <col min="13070" max="13070" width="17" style="299" customWidth="1"/>
    <col min="13071" max="13071" width="19.54296875" style="299" customWidth="1"/>
    <col min="13072" max="13317" width="10.90625" style="299"/>
    <col min="13318" max="13318" width="9.54296875" style="299" customWidth="1"/>
    <col min="13319" max="13319" width="18.7265625" style="299" customWidth="1"/>
    <col min="13320" max="13320" width="18.26953125" style="299" customWidth="1"/>
    <col min="13321" max="13321" width="17.26953125" style="299" customWidth="1"/>
    <col min="13322" max="13322" width="22.81640625" style="299" customWidth="1"/>
    <col min="13323" max="13323" width="26.453125" style="299" customWidth="1"/>
    <col min="13324" max="13324" width="21.81640625" style="299" customWidth="1"/>
    <col min="13325" max="13325" width="8.26953125" style="299" customWidth="1"/>
    <col min="13326" max="13326" width="17" style="299" customWidth="1"/>
    <col min="13327" max="13327" width="19.54296875" style="299" customWidth="1"/>
    <col min="13328" max="13573" width="10.90625" style="299"/>
    <col min="13574" max="13574" width="9.54296875" style="299" customWidth="1"/>
    <col min="13575" max="13575" width="18.7265625" style="299" customWidth="1"/>
    <col min="13576" max="13576" width="18.26953125" style="299" customWidth="1"/>
    <col min="13577" max="13577" width="17.26953125" style="299" customWidth="1"/>
    <col min="13578" max="13578" width="22.81640625" style="299" customWidth="1"/>
    <col min="13579" max="13579" width="26.453125" style="299" customWidth="1"/>
    <col min="13580" max="13580" width="21.81640625" style="299" customWidth="1"/>
    <col min="13581" max="13581" width="8.26953125" style="299" customWidth="1"/>
    <col min="13582" max="13582" width="17" style="299" customWidth="1"/>
    <col min="13583" max="13583" width="19.54296875" style="299" customWidth="1"/>
    <col min="13584" max="13829" width="10.90625" style="299"/>
    <col min="13830" max="13830" width="9.54296875" style="299" customWidth="1"/>
    <col min="13831" max="13831" width="18.7265625" style="299" customWidth="1"/>
    <col min="13832" max="13832" width="18.26953125" style="299" customWidth="1"/>
    <col min="13833" max="13833" width="17.26953125" style="299" customWidth="1"/>
    <col min="13834" max="13834" width="22.81640625" style="299" customWidth="1"/>
    <col min="13835" max="13835" width="26.453125" style="299" customWidth="1"/>
    <col min="13836" max="13836" width="21.81640625" style="299" customWidth="1"/>
    <col min="13837" max="13837" width="8.26953125" style="299" customWidth="1"/>
    <col min="13838" max="13838" width="17" style="299" customWidth="1"/>
    <col min="13839" max="13839" width="19.54296875" style="299" customWidth="1"/>
    <col min="13840" max="14085" width="10.90625" style="299"/>
    <col min="14086" max="14086" width="9.54296875" style="299" customWidth="1"/>
    <col min="14087" max="14087" width="18.7265625" style="299" customWidth="1"/>
    <col min="14088" max="14088" width="18.26953125" style="299" customWidth="1"/>
    <col min="14089" max="14089" width="17.26953125" style="299" customWidth="1"/>
    <col min="14090" max="14090" width="22.81640625" style="299" customWidth="1"/>
    <col min="14091" max="14091" width="26.453125" style="299" customWidth="1"/>
    <col min="14092" max="14092" width="21.81640625" style="299" customWidth="1"/>
    <col min="14093" max="14093" width="8.26953125" style="299" customWidth="1"/>
    <col min="14094" max="14094" width="17" style="299" customWidth="1"/>
    <col min="14095" max="14095" width="19.54296875" style="299" customWidth="1"/>
    <col min="14096" max="14341" width="10.90625" style="299"/>
    <col min="14342" max="14342" width="9.54296875" style="299" customWidth="1"/>
    <col min="14343" max="14343" width="18.7265625" style="299" customWidth="1"/>
    <col min="14344" max="14344" width="18.26953125" style="299" customWidth="1"/>
    <col min="14345" max="14345" width="17.26953125" style="299" customWidth="1"/>
    <col min="14346" max="14346" width="22.81640625" style="299" customWidth="1"/>
    <col min="14347" max="14347" width="26.453125" style="299" customWidth="1"/>
    <col min="14348" max="14348" width="21.81640625" style="299" customWidth="1"/>
    <col min="14349" max="14349" width="8.26953125" style="299" customWidth="1"/>
    <col min="14350" max="14350" width="17" style="299" customWidth="1"/>
    <col min="14351" max="14351" width="19.54296875" style="299" customWidth="1"/>
    <col min="14352" max="14597" width="10.90625" style="299"/>
    <col min="14598" max="14598" width="9.54296875" style="299" customWidth="1"/>
    <col min="14599" max="14599" width="18.7265625" style="299" customWidth="1"/>
    <col min="14600" max="14600" width="18.26953125" style="299" customWidth="1"/>
    <col min="14601" max="14601" width="17.26953125" style="299" customWidth="1"/>
    <col min="14602" max="14602" width="22.81640625" style="299" customWidth="1"/>
    <col min="14603" max="14603" width="26.453125" style="299" customWidth="1"/>
    <col min="14604" max="14604" width="21.81640625" style="299" customWidth="1"/>
    <col min="14605" max="14605" width="8.26953125" style="299" customWidth="1"/>
    <col min="14606" max="14606" width="17" style="299" customWidth="1"/>
    <col min="14607" max="14607" width="19.54296875" style="299" customWidth="1"/>
    <col min="14608" max="14853" width="10.90625" style="299"/>
    <col min="14854" max="14854" width="9.54296875" style="299" customWidth="1"/>
    <col min="14855" max="14855" width="18.7265625" style="299" customWidth="1"/>
    <col min="14856" max="14856" width="18.26953125" style="299" customWidth="1"/>
    <col min="14857" max="14857" width="17.26953125" style="299" customWidth="1"/>
    <col min="14858" max="14858" width="22.81640625" style="299" customWidth="1"/>
    <col min="14859" max="14859" width="26.453125" style="299" customWidth="1"/>
    <col min="14860" max="14860" width="21.81640625" style="299" customWidth="1"/>
    <col min="14861" max="14861" width="8.26953125" style="299" customWidth="1"/>
    <col min="14862" max="14862" width="17" style="299" customWidth="1"/>
    <col min="14863" max="14863" width="19.54296875" style="299" customWidth="1"/>
    <col min="14864" max="15109" width="10.90625" style="299"/>
    <col min="15110" max="15110" width="9.54296875" style="299" customWidth="1"/>
    <col min="15111" max="15111" width="18.7265625" style="299" customWidth="1"/>
    <col min="15112" max="15112" width="18.26953125" style="299" customWidth="1"/>
    <col min="15113" max="15113" width="17.26953125" style="299" customWidth="1"/>
    <col min="15114" max="15114" width="22.81640625" style="299" customWidth="1"/>
    <col min="15115" max="15115" width="26.453125" style="299" customWidth="1"/>
    <col min="15116" max="15116" width="21.81640625" style="299" customWidth="1"/>
    <col min="15117" max="15117" width="8.26953125" style="299" customWidth="1"/>
    <col min="15118" max="15118" width="17" style="299" customWidth="1"/>
    <col min="15119" max="15119" width="19.54296875" style="299" customWidth="1"/>
    <col min="15120" max="15365" width="10.90625" style="299"/>
    <col min="15366" max="15366" width="9.54296875" style="299" customWidth="1"/>
    <col min="15367" max="15367" width="18.7265625" style="299" customWidth="1"/>
    <col min="15368" max="15368" width="18.26953125" style="299" customWidth="1"/>
    <col min="15369" max="15369" width="17.26953125" style="299" customWidth="1"/>
    <col min="15370" max="15370" width="22.81640625" style="299" customWidth="1"/>
    <col min="15371" max="15371" width="26.453125" style="299" customWidth="1"/>
    <col min="15372" max="15372" width="21.81640625" style="299" customWidth="1"/>
    <col min="15373" max="15373" width="8.26953125" style="299" customWidth="1"/>
    <col min="15374" max="15374" width="17" style="299" customWidth="1"/>
    <col min="15375" max="15375" width="19.54296875" style="299" customWidth="1"/>
    <col min="15376" max="15621" width="10.90625" style="299"/>
    <col min="15622" max="15622" width="9.54296875" style="299" customWidth="1"/>
    <col min="15623" max="15623" width="18.7265625" style="299" customWidth="1"/>
    <col min="15624" max="15624" width="18.26953125" style="299" customWidth="1"/>
    <col min="15625" max="15625" width="17.26953125" style="299" customWidth="1"/>
    <col min="15626" max="15626" width="22.81640625" style="299" customWidth="1"/>
    <col min="15627" max="15627" width="26.453125" style="299" customWidth="1"/>
    <col min="15628" max="15628" width="21.81640625" style="299" customWidth="1"/>
    <col min="15629" max="15629" width="8.26953125" style="299" customWidth="1"/>
    <col min="15630" max="15630" width="17" style="299" customWidth="1"/>
    <col min="15631" max="15631" width="19.54296875" style="299" customWidth="1"/>
    <col min="15632" max="15877" width="10.90625" style="299"/>
    <col min="15878" max="15878" width="9.54296875" style="299" customWidth="1"/>
    <col min="15879" max="15879" width="18.7265625" style="299" customWidth="1"/>
    <col min="15880" max="15880" width="18.26953125" style="299" customWidth="1"/>
    <col min="15881" max="15881" width="17.26953125" style="299" customWidth="1"/>
    <col min="15882" max="15882" width="22.81640625" style="299" customWidth="1"/>
    <col min="15883" max="15883" width="26.453125" style="299" customWidth="1"/>
    <col min="15884" max="15884" width="21.81640625" style="299" customWidth="1"/>
    <col min="15885" max="15885" width="8.26953125" style="299" customWidth="1"/>
    <col min="15886" max="15886" width="17" style="299" customWidth="1"/>
    <col min="15887" max="15887" width="19.54296875" style="299" customWidth="1"/>
    <col min="15888" max="16133" width="10.90625" style="299"/>
    <col min="16134" max="16134" width="9.54296875" style="299" customWidth="1"/>
    <col min="16135" max="16135" width="18.7265625" style="299" customWidth="1"/>
    <col min="16136" max="16136" width="18.26953125" style="299" customWidth="1"/>
    <col min="16137" max="16137" width="17.26953125" style="299" customWidth="1"/>
    <col min="16138" max="16138" width="22.81640625" style="299" customWidth="1"/>
    <col min="16139" max="16139" width="26.453125" style="299" customWidth="1"/>
    <col min="16140" max="16140" width="21.81640625" style="299" customWidth="1"/>
    <col min="16141" max="16141" width="8.26953125" style="299" customWidth="1"/>
    <col min="16142" max="16142" width="17" style="299" customWidth="1"/>
    <col min="16143" max="16143" width="19.54296875" style="299" customWidth="1"/>
    <col min="16144" max="16384" width="10.90625" style="299"/>
  </cols>
  <sheetData>
    <row r="1" spans="1:31" ht="6.75" customHeight="1" thickBot="1" x14ac:dyDescent="0.35"/>
    <row r="2" spans="1:31" ht="31.5" customHeight="1" thickBot="1" x14ac:dyDescent="0.35">
      <c r="B2" s="752" t="s">
        <v>131</v>
      </c>
      <c r="C2" s="753"/>
      <c r="D2" s="753"/>
      <c r="E2" s="753"/>
      <c r="F2" s="754"/>
      <c r="Q2" s="72" t="s">
        <v>164</v>
      </c>
      <c r="R2" s="4"/>
      <c r="S2" s="275" t="s">
        <v>118</v>
      </c>
      <c r="T2" s="274" t="s">
        <v>263</v>
      </c>
      <c r="U2" s="273" t="s">
        <v>264</v>
      </c>
    </row>
    <row r="3" spans="1:31" ht="37.5" customHeight="1" thickBot="1" x14ac:dyDescent="0.35">
      <c r="B3" s="703" t="s">
        <v>170</v>
      </c>
      <c r="C3" s="704"/>
      <c r="D3" s="704"/>
      <c r="E3" s="704"/>
      <c r="F3" s="705"/>
      <c r="G3" s="292" t="s">
        <v>112</v>
      </c>
      <c r="H3" s="461"/>
      <c r="I3" s="253">
        <v>22</v>
      </c>
      <c r="J3" s="291" t="s">
        <v>111</v>
      </c>
      <c r="Q3" s="276" t="s">
        <v>11</v>
      </c>
      <c r="R3" s="277">
        <f>D25</f>
        <v>120.93630290310986</v>
      </c>
      <c r="S3" s="410">
        <f>D28</f>
        <v>6.0987999624191378</v>
      </c>
      <c r="T3" s="411">
        <f>D27</f>
        <v>1</v>
      </c>
      <c r="U3" s="412">
        <f>D26</f>
        <v>113.83750294069073</v>
      </c>
    </row>
    <row r="4" spans="1:31" ht="13.5" thickBot="1" x14ac:dyDescent="0.35">
      <c r="A4" s="302"/>
      <c r="Q4" s="444" t="s">
        <v>165</v>
      </c>
      <c r="R4" s="248"/>
      <c r="S4" s="248"/>
      <c r="T4" s="248"/>
      <c r="U4" s="248"/>
    </row>
    <row r="5" spans="1:31" ht="22.5" customHeight="1" thickBot="1" x14ac:dyDescent="0.35">
      <c r="A5" s="302"/>
      <c r="B5" s="303" t="s">
        <v>132</v>
      </c>
      <c r="C5" s="462">
        <v>5.8698668571888296E-2</v>
      </c>
      <c r="D5" s="755" t="s">
        <v>133</v>
      </c>
      <c r="E5" s="756"/>
      <c r="F5" s="757"/>
      <c r="G5" s="304"/>
      <c r="H5" s="304"/>
      <c r="I5" s="305"/>
      <c r="J5" s="305"/>
      <c r="K5" s="305"/>
      <c r="L5" s="305"/>
      <c r="M5" s="305"/>
      <c r="N5" s="306"/>
      <c r="O5" s="306"/>
      <c r="P5" s="307"/>
      <c r="R5" s="272" t="str">
        <f>J3</f>
        <v>meses</v>
      </c>
      <c r="S5" s="385"/>
      <c r="T5" s="386"/>
      <c r="U5" s="272" t="s">
        <v>0</v>
      </c>
      <c r="W5" s="308"/>
      <c r="X5" s="308"/>
      <c r="Y5" s="308"/>
      <c r="Z5" s="308"/>
      <c r="AA5" s="308"/>
      <c r="AB5" s="308"/>
      <c r="AC5" s="308"/>
      <c r="AD5" s="308"/>
      <c r="AE5" s="308"/>
    </row>
    <row r="6" spans="1:31" ht="19.5" customHeight="1" thickBot="1" x14ac:dyDescent="0.35">
      <c r="A6" s="309"/>
      <c r="B6" s="310"/>
      <c r="C6" s="385"/>
      <c r="D6" s="312" t="s">
        <v>134</v>
      </c>
      <c r="E6" s="311" t="s">
        <v>171</v>
      </c>
      <c r="F6" s="312" t="s">
        <v>172</v>
      </c>
      <c r="G6" s="313"/>
      <c r="H6" s="313"/>
      <c r="I6" s="304"/>
      <c r="J6" s="304"/>
      <c r="K6" s="304"/>
      <c r="L6" s="304"/>
      <c r="M6" s="304"/>
      <c r="N6" s="304"/>
      <c r="O6" s="304"/>
      <c r="P6" s="308"/>
      <c r="Q6" s="387" t="s">
        <v>1</v>
      </c>
      <c r="R6" s="388">
        <f>R20</f>
        <v>0.64570000000000005</v>
      </c>
      <c r="S6" s="33">
        <f>R6/R9</f>
        <v>2.9350000000000001E-2</v>
      </c>
      <c r="T6" s="386"/>
      <c r="U6" s="397">
        <f>R6*365.25/12</f>
        <v>19.653493750000003</v>
      </c>
      <c r="W6" s="308"/>
      <c r="X6" s="308"/>
      <c r="Y6" s="308"/>
      <c r="Z6" s="308"/>
      <c r="AA6" s="308"/>
      <c r="AB6" s="308"/>
      <c r="AC6" s="308"/>
      <c r="AD6" s="308"/>
      <c r="AE6" s="308"/>
    </row>
    <row r="7" spans="1:31" ht="18.75" customHeight="1" thickBot="1" x14ac:dyDescent="0.35">
      <c r="A7" s="309"/>
      <c r="B7" s="309"/>
      <c r="C7" s="385"/>
      <c r="D7" s="463">
        <v>0.85913112000704717</v>
      </c>
      <c r="E7" s="464">
        <v>0.74276882575060676</v>
      </c>
      <c r="F7" s="465">
        <v>0.99372275164977253</v>
      </c>
      <c r="G7" s="314"/>
      <c r="H7" s="466"/>
      <c r="I7" s="314"/>
      <c r="J7" s="314"/>
      <c r="K7" s="314"/>
      <c r="L7" s="314"/>
      <c r="M7" s="314"/>
      <c r="N7" s="315"/>
      <c r="O7" s="316"/>
      <c r="P7" s="317"/>
      <c r="Q7" s="389" t="s">
        <v>3</v>
      </c>
      <c r="R7" s="467">
        <f>Q20</f>
        <v>9.1300000000000048E-2</v>
      </c>
      <c r="S7" s="390">
        <f>R7/R9</f>
        <v>4.1500000000000018E-3</v>
      </c>
      <c r="T7" s="386"/>
      <c r="U7" s="468">
        <f t="shared" ref="U7:U8" si="0">R7*365.25/12</f>
        <v>2.7789437500000016</v>
      </c>
      <c r="W7" s="308"/>
      <c r="X7" s="308"/>
      <c r="Y7" s="308"/>
      <c r="Z7" s="308"/>
      <c r="AA7" s="308"/>
      <c r="AB7" s="308"/>
      <c r="AC7" s="308"/>
      <c r="AD7" s="308"/>
      <c r="AE7" s="308"/>
    </row>
    <row r="8" spans="1:31" ht="26.25" customHeight="1" x14ac:dyDescent="0.3">
      <c r="A8" s="318"/>
      <c r="B8" s="300"/>
      <c r="C8" s="300"/>
      <c r="D8" s="300"/>
      <c r="E8" s="300"/>
      <c r="F8" s="300"/>
      <c r="G8" s="319"/>
      <c r="H8" s="319"/>
      <c r="I8" s="308"/>
      <c r="J8" s="308"/>
      <c r="K8" s="308"/>
      <c r="L8" s="308"/>
      <c r="M8" s="308"/>
      <c r="N8" s="308"/>
      <c r="O8" s="320"/>
      <c r="P8" s="317"/>
      <c r="Q8" s="391" t="s">
        <v>2</v>
      </c>
      <c r="R8" s="392">
        <f>P20</f>
        <v>21.262999999999998</v>
      </c>
      <c r="S8" s="393">
        <f>R8/R9</f>
        <v>0.96649999999999991</v>
      </c>
      <c r="T8" s="386"/>
      <c r="U8" s="469">
        <f t="shared" si="0"/>
        <v>647.19256250000001</v>
      </c>
      <c r="W8" s="308"/>
      <c r="X8" s="308"/>
      <c r="Y8" s="308"/>
      <c r="Z8" s="308"/>
      <c r="AA8" s="308"/>
      <c r="AB8" s="308"/>
      <c r="AC8" s="308"/>
      <c r="AD8" s="308"/>
      <c r="AE8" s="308"/>
    </row>
    <row r="9" spans="1:31" ht="26.25" customHeight="1" x14ac:dyDescent="0.3">
      <c r="A9" s="318"/>
      <c r="B9" s="300"/>
      <c r="C9" s="300"/>
      <c r="D9" s="300"/>
      <c r="E9" s="300"/>
      <c r="F9" s="300"/>
      <c r="G9" s="319"/>
      <c r="H9" s="319"/>
      <c r="I9" s="308"/>
      <c r="J9" s="308"/>
      <c r="K9" s="308"/>
      <c r="L9" s="308"/>
      <c r="M9" s="308"/>
      <c r="N9" s="308"/>
      <c r="O9" s="320"/>
      <c r="P9" s="317"/>
      <c r="Q9" s="391"/>
      <c r="R9" s="395">
        <f>SUM(R6:R8)</f>
        <v>22</v>
      </c>
      <c r="S9" s="385"/>
      <c r="T9" s="386"/>
      <c r="U9" s="396">
        <f>R9*365.25/12</f>
        <v>669.625</v>
      </c>
      <c r="W9" s="308"/>
      <c r="X9" s="308"/>
      <c r="Y9" s="308"/>
      <c r="Z9" s="308"/>
      <c r="AA9" s="308"/>
      <c r="AB9" s="308"/>
      <c r="AC9" s="308"/>
      <c r="AD9" s="308"/>
      <c r="AE9" s="308"/>
    </row>
    <row r="10" spans="1:31" ht="26.25" hidden="1" customHeight="1" x14ac:dyDescent="0.3">
      <c r="A10" s="318"/>
      <c r="B10" s="300"/>
      <c r="C10" s="300"/>
      <c r="D10" s="319"/>
      <c r="E10" s="319"/>
      <c r="F10" s="319"/>
      <c r="G10" s="319"/>
      <c r="H10" s="319"/>
      <c r="I10" s="308"/>
      <c r="J10" s="308"/>
      <c r="K10" s="308"/>
      <c r="L10" s="308"/>
      <c r="M10" s="308"/>
      <c r="N10" s="308"/>
      <c r="O10" s="320"/>
      <c r="P10" s="317"/>
      <c r="Q10" s="308"/>
      <c r="R10" s="391"/>
      <c r="S10" s="392"/>
      <c r="T10" s="393"/>
      <c r="U10" s="386"/>
      <c r="V10" s="394"/>
      <c r="W10" s="308"/>
      <c r="X10" s="308"/>
      <c r="Y10" s="308"/>
      <c r="Z10" s="308"/>
      <c r="AA10" s="308"/>
      <c r="AB10" s="308"/>
      <c r="AC10" s="308"/>
      <c r="AD10" s="308"/>
      <c r="AE10" s="308"/>
    </row>
    <row r="11" spans="1:31" ht="26.25" hidden="1" customHeight="1" x14ac:dyDescent="0.3">
      <c r="A11" s="318"/>
      <c r="B11" s="300"/>
      <c r="C11" s="300"/>
      <c r="D11" s="319"/>
      <c r="E11" s="319"/>
      <c r="F11" s="319"/>
      <c r="G11" s="319"/>
      <c r="H11" s="319"/>
      <c r="I11" s="308"/>
      <c r="J11" s="308"/>
      <c r="K11" s="308"/>
      <c r="L11" s="308"/>
      <c r="M11" s="308"/>
      <c r="N11" s="308"/>
      <c r="O11" s="320"/>
      <c r="P11" s="317"/>
      <c r="Q11" s="308"/>
      <c r="R11" s="391"/>
      <c r="S11" s="392"/>
      <c r="T11" s="393"/>
      <c r="U11" s="386"/>
      <c r="V11" s="394"/>
      <c r="W11" s="308"/>
      <c r="X11" s="308"/>
      <c r="Y11" s="308"/>
      <c r="Z11" s="308"/>
      <c r="AA11" s="308"/>
      <c r="AB11" s="308"/>
      <c r="AC11" s="308"/>
      <c r="AD11" s="308"/>
      <c r="AE11" s="308"/>
    </row>
    <row r="12" spans="1:31" ht="13.5" hidden="1" customHeight="1" x14ac:dyDescent="0.3">
      <c r="A12" s="318"/>
      <c r="B12" s="321"/>
      <c r="C12" s="321"/>
      <c r="D12" s="401">
        <f>C5*D7</f>
        <v>5.0429852873088848E-2</v>
      </c>
      <c r="E12" s="322">
        <f>C5*E7</f>
        <v>4.3599541128265515E-2</v>
      </c>
      <c r="F12" s="322">
        <f>C5*F7</f>
        <v>5.8330202451434859E-2</v>
      </c>
      <c r="G12" s="319"/>
      <c r="H12" s="319"/>
      <c r="I12" s="323"/>
      <c r="J12" s="323"/>
      <c r="K12" s="323"/>
      <c r="L12" s="323"/>
      <c r="M12" s="323"/>
      <c r="N12" s="308"/>
      <c r="O12" s="324"/>
      <c r="P12" s="308"/>
      <c r="Q12" s="308"/>
      <c r="R12" s="385"/>
      <c r="W12" s="308"/>
      <c r="X12" s="308"/>
      <c r="Y12" s="308"/>
      <c r="Z12" s="308"/>
      <c r="AA12" s="308"/>
      <c r="AB12" s="308"/>
      <c r="AC12" s="308"/>
      <c r="AD12" s="308"/>
      <c r="AE12" s="308"/>
    </row>
    <row r="13" spans="1:31" ht="13.5" hidden="1" customHeight="1" x14ac:dyDescent="0.3">
      <c r="A13" s="318"/>
      <c r="B13" s="325"/>
      <c r="C13" s="326"/>
      <c r="D13" s="327"/>
      <c r="E13" s="327"/>
      <c r="F13" s="327"/>
      <c r="G13" s="319"/>
      <c r="H13" s="319"/>
      <c r="I13" s="308"/>
      <c r="J13" s="308"/>
      <c r="K13" s="308"/>
      <c r="L13" s="308"/>
      <c r="M13" s="308"/>
      <c r="N13" s="308"/>
      <c r="O13" s="328"/>
      <c r="P13" s="329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</row>
    <row r="14" spans="1:31" ht="15.75" hidden="1" customHeight="1" x14ac:dyDescent="0.3">
      <c r="A14" s="318"/>
      <c r="B14" s="325"/>
      <c r="C14" s="330" t="s">
        <v>120</v>
      </c>
      <c r="D14" s="331">
        <f>C5-D12</f>
        <v>8.2688156987994477E-3</v>
      </c>
      <c r="E14" s="332">
        <f>C5-F12</f>
        <v>3.6846612045343674E-4</v>
      </c>
      <c r="F14" s="332">
        <f>C5-E12</f>
        <v>1.5099127443622781E-2</v>
      </c>
      <c r="G14" s="319"/>
      <c r="H14" s="319"/>
      <c r="I14" s="308"/>
      <c r="J14" s="308"/>
      <c r="K14" s="308"/>
      <c r="L14" s="308"/>
      <c r="M14" s="308"/>
      <c r="N14" s="308"/>
      <c r="O14" s="317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</row>
    <row r="15" spans="1:31" ht="13.5" hidden="1" customHeight="1" x14ac:dyDescent="0.3">
      <c r="A15" s="318"/>
      <c r="B15" s="325"/>
      <c r="C15" s="330" t="s">
        <v>121</v>
      </c>
      <c r="D15" s="333">
        <f>1/D14</f>
        <v>120.93630290310986</v>
      </c>
      <c r="E15" s="334">
        <f>1/F14</f>
        <v>66.228992617871882</v>
      </c>
      <c r="F15" s="334">
        <f>1/E14</f>
        <v>2713.9537246175951</v>
      </c>
      <c r="G15" s="319"/>
      <c r="H15" s="319"/>
      <c r="I15" s="299"/>
      <c r="J15" s="299"/>
      <c r="K15" s="299"/>
      <c r="L15" s="299"/>
      <c r="M15" s="299"/>
      <c r="N15" s="300"/>
      <c r="O15" s="335"/>
      <c r="P15" s="300"/>
      <c r="Q15" s="300"/>
      <c r="R15" s="300"/>
      <c r="S15" s="300"/>
    </row>
    <row r="16" spans="1:31" ht="12.75" hidden="1" customHeight="1" x14ac:dyDescent="0.3">
      <c r="A16" s="318"/>
      <c r="B16" s="300"/>
      <c r="C16" s="319"/>
      <c r="D16" s="319"/>
      <c r="E16" s="319"/>
      <c r="F16" s="319"/>
      <c r="G16" s="319"/>
      <c r="H16" s="319"/>
      <c r="I16" s="299"/>
      <c r="J16" s="299"/>
      <c r="K16" s="299"/>
      <c r="L16" s="299"/>
      <c r="M16" s="299"/>
    </row>
    <row r="17" spans="1:19" s="300" customFormat="1" ht="12.75" hidden="1" customHeight="1" x14ac:dyDescent="0.3">
      <c r="A17" s="336"/>
      <c r="B17" s="337"/>
      <c r="C17" s="338"/>
      <c r="D17" s="339"/>
      <c r="E17" s="340"/>
      <c r="F17" s="339"/>
      <c r="G17" s="319"/>
      <c r="H17" s="319"/>
      <c r="O17" s="335"/>
    </row>
    <row r="18" spans="1:19" ht="12.75" hidden="1" customHeight="1" x14ac:dyDescent="0.3">
      <c r="A18" s="318"/>
      <c r="B18" s="341" t="s">
        <v>95</v>
      </c>
      <c r="C18" s="342"/>
      <c r="D18" s="342"/>
      <c r="E18" s="343">
        <f>ROUND(D7,2)</f>
        <v>0.86</v>
      </c>
      <c r="F18" s="344">
        <f>ROUND(D14,4)</f>
        <v>8.3000000000000001E-3</v>
      </c>
      <c r="G18" s="345">
        <f>ROUND(D15,0)</f>
        <v>121</v>
      </c>
      <c r="H18" s="470"/>
      <c r="I18" s="299"/>
      <c r="J18" s="299"/>
      <c r="K18" s="299"/>
      <c r="L18" s="299"/>
      <c r="M18" s="299"/>
      <c r="N18" s="7" t="s">
        <v>108</v>
      </c>
      <c r="O18" s="4"/>
      <c r="P18" s="78"/>
      <c r="Q18" s="59"/>
      <c r="R18" s="59"/>
      <c r="S18" s="4"/>
    </row>
    <row r="19" spans="1:19" ht="12.75" hidden="1" customHeight="1" x14ac:dyDescent="0.3">
      <c r="A19" s="318"/>
      <c r="B19" s="346" t="s">
        <v>96</v>
      </c>
      <c r="C19" s="347">
        <f>ROUND(D12,4)</f>
        <v>5.04E-2</v>
      </c>
      <c r="D19" s="347">
        <f>ROUND(C5,4)</f>
        <v>5.8700000000000002E-2</v>
      </c>
      <c r="E19" s="348">
        <f>ROUND(E7,2)</f>
        <v>0.74</v>
      </c>
      <c r="F19" s="349">
        <f>ROUND(E14,4)</f>
        <v>4.0000000000000002E-4</v>
      </c>
      <c r="G19" s="350">
        <f>ROUND(E15,0)</f>
        <v>66</v>
      </c>
      <c r="H19" s="470"/>
      <c r="I19" s="299"/>
      <c r="J19" s="299"/>
      <c r="K19" s="299"/>
      <c r="L19" s="299"/>
      <c r="M19" s="299"/>
      <c r="N19" s="252" t="s">
        <v>109</v>
      </c>
      <c r="O19" s="252" t="s">
        <v>110</v>
      </c>
      <c r="P19" s="256" t="s">
        <v>2</v>
      </c>
      <c r="Q19" s="257" t="s">
        <v>3</v>
      </c>
      <c r="R19" s="258" t="s">
        <v>1</v>
      </c>
      <c r="S19" s="4"/>
    </row>
    <row r="20" spans="1:19" ht="12.75" hidden="1" customHeight="1" x14ac:dyDescent="0.3">
      <c r="A20" s="318"/>
      <c r="B20" s="346" t="s">
        <v>97</v>
      </c>
      <c r="C20" s="317"/>
      <c r="D20" s="317"/>
      <c r="E20" s="348">
        <f>ROUND(F7,2)</f>
        <v>0.99</v>
      </c>
      <c r="F20" s="349">
        <f>ROUND(F14,4)</f>
        <v>1.5100000000000001E-2</v>
      </c>
      <c r="G20" s="350">
        <f>ROUND(F15,0)</f>
        <v>2714</v>
      </c>
      <c r="H20" s="470"/>
      <c r="I20" s="299"/>
      <c r="J20" s="299"/>
      <c r="K20" s="299"/>
      <c r="L20" s="299"/>
      <c r="M20" s="299"/>
      <c r="N20" s="254">
        <f>C19*I3/2</f>
        <v>0.5544</v>
      </c>
      <c r="O20" s="255">
        <f>D19*I3/2</f>
        <v>0.64570000000000005</v>
      </c>
      <c r="P20" s="259">
        <f>I3-Q20-R20</f>
        <v>21.262999999999998</v>
      </c>
      <c r="Q20" s="259">
        <f>O20-N20</f>
        <v>9.1300000000000048E-2</v>
      </c>
      <c r="R20" s="259">
        <f>O20</f>
        <v>0.64570000000000005</v>
      </c>
      <c r="S20" s="4" t="str">
        <f>J3</f>
        <v>meses</v>
      </c>
    </row>
    <row r="21" spans="1:19" ht="12.75" hidden="1" customHeight="1" x14ac:dyDescent="0.3">
      <c r="A21" s="318"/>
      <c r="B21" s="346" t="s">
        <v>98</v>
      </c>
      <c r="C21" s="351" t="s">
        <v>135</v>
      </c>
      <c r="D21" s="351" t="s">
        <v>136</v>
      </c>
      <c r="E21" s="352" t="s">
        <v>119</v>
      </c>
      <c r="F21" s="352" t="s">
        <v>137</v>
      </c>
      <c r="G21" s="351" t="s">
        <v>121</v>
      </c>
      <c r="H21" s="317"/>
      <c r="I21" s="299"/>
      <c r="J21" s="299"/>
      <c r="K21" s="299"/>
      <c r="L21" s="299"/>
      <c r="M21" s="299"/>
      <c r="R21" s="383"/>
    </row>
    <row r="22" spans="1:19" ht="12.75" hidden="1" customHeight="1" x14ac:dyDescent="0.3">
      <c r="A22" s="318"/>
      <c r="B22" s="353" t="s">
        <v>103</v>
      </c>
      <c r="C22" s="351" t="str">
        <f>CONCATENATE(C19*100,B21)</f>
        <v>5,04%</v>
      </c>
      <c r="D22" s="351" t="str">
        <f>CONCATENATE(D19*100,B21)</f>
        <v>5,87%</v>
      </c>
      <c r="E22" s="351" t="str">
        <f>CONCATENATE(E18," ",B18,E19,B19,E20,B20)</f>
        <v>0,86 (0,74-0,99)</v>
      </c>
      <c r="F22" s="351" t="str">
        <f>CONCATENATE(F18*100,B21," ",B18,F19*100,B21," ",B22," ",F20*100,B21,B20)</f>
        <v>0,83% (0,04% a 1,51%)</v>
      </c>
      <c r="G22" s="351" t="str">
        <f>CONCATENATE(G18," ",B18,G19," ",B22," ",G20,B20)</f>
        <v>121 (66 a 2714)</v>
      </c>
      <c r="H22" s="317"/>
      <c r="I22" s="299"/>
      <c r="J22" s="299"/>
      <c r="K22" s="299"/>
      <c r="L22" s="299"/>
      <c r="M22" s="299"/>
    </row>
    <row r="23" spans="1:19" hidden="1" x14ac:dyDescent="0.3">
      <c r="A23" s="358"/>
      <c r="B23" s="359"/>
      <c r="C23" s="361"/>
      <c r="D23" s="361"/>
      <c r="E23" s="361"/>
      <c r="F23" s="361"/>
      <c r="G23" s="361"/>
      <c r="H23" s="471"/>
      <c r="I23" s="360"/>
      <c r="J23" s="360"/>
      <c r="K23" s="360"/>
      <c r="L23" s="360"/>
      <c r="M23" s="360"/>
      <c r="N23" s="360"/>
      <c r="O23" s="335"/>
      <c r="P23" s="300"/>
      <c r="Q23" s="300"/>
    </row>
    <row r="24" spans="1:19" ht="26.25" hidden="1" customHeight="1" x14ac:dyDescent="0.3">
      <c r="A24" s="359"/>
      <c r="B24" s="379" t="s">
        <v>138</v>
      </c>
      <c r="C24" s="371"/>
      <c r="D24" s="372" t="s">
        <v>134</v>
      </c>
      <c r="E24" s="373" t="s">
        <v>31</v>
      </c>
      <c r="F24" s="373" t="s">
        <v>32</v>
      </c>
      <c r="G24" s="361"/>
      <c r="H24" s="471"/>
      <c r="I24" s="360"/>
      <c r="J24" s="360"/>
      <c r="K24" s="360"/>
      <c r="L24" s="360"/>
      <c r="M24" s="360"/>
      <c r="N24" s="360"/>
      <c r="O24" s="335"/>
      <c r="P24" s="319"/>
      <c r="Q24" s="300"/>
    </row>
    <row r="25" spans="1:19" hidden="1" x14ac:dyDescent="0.3">
      <c r="A25" s="362"/>
      <c r="B25" s="376" t="s">
        <v>139</v>
      </c>
      <c r="C25" s="377"/>
      <c r="D25" s="382">
        <f>D15</f>
        <v>120.93630290310986</v>
      </c>
      <c r="E25" s="374">
        <f>E15</f>
        <v>66.228992617871882</v>
      </c>
      <c r="F25" s="374">
        <f>F15</f>
        <v>2713.9537246175951</v>
      </c>
      <c r="G25" s="361"/>
      <c r="H25" s="471"/>
      <c r="I25" s="360"/>
      <c r="J25" s="360"/>
      <c r="K25" s="360"/>
      <c r="L25" s="360"/>
      <c r="M25" s="360"/>
      <c r="N25" s="360"/>
      <c r="O25" s="335"/>
      <c r="P25" s="319"/>
      <c r="Q25" s="300"/>
    </row>
    <row r="26" spans="1:19" hidden="1" x14ac:dyDescent="0.3">
      <c r="A26" s="362"/>
      <c r="B26" s="380" t="s">
        <v>140</v>
      </c>
      <c r="C26" s="367"/>
      <c r="D26" s="382">
        <f>(1-C5)*D15</f>
        <v>113.83750294069073</v>
      </c>
      <c r="E26" s="374">
        <f>(1-C5)*E15</f>
        <v>62.341438930345383</v>
      </c>
      <c r="F26" s="374">
        <f>(1-C5)*F15</f>
        <v>2554.6482544168248</v>
      </c>
      <c r="G26" s="361"/>
      <c r="H26" s="471"/>
      <c r="I26" s="360"/>
      <c r="J26" s="360"/>
      <c r="K26" s="360"/>
      <c r="L26" s="360"/>
      <c r="M26" s="360"/>
      <c r="N26" s="360"/>
      <c r="O26" s="335"/>
      <c r="P26" s="300"/>
      <c r="Q26" s="300"/>
    </row>
    <row r="27" spans="1:19" hidden="1" x14ac:dyDescent="0.3">
      <c r="A27" s="363"/>
      <c r="B27" s="381" t="s">
        <v>141</v>
      </c>
      <c r="C27" s="367"/>
      <c r="D27" s="382">
        <f>D15*D14</f>
        <v>1</v>
      </c>
      <c r="E27" s="374">
        <f>E15*F14</f>
        <v>0.99999999999999989</v>
      </c>
      <c r="F27" s="374">
        <f>F15*E14</f>
        <v>1</v>
      </c>
      <c r="G27" s="361"/>
      <c r="H27" s="471"/>
      <c r="I27" s="302"/>
      <c r="J27" s="302"/>
      <c r="K27" s="302"/>
      <c r="L27" s="302"/>
      <c r="M27" s="302"/>
      <c r="N27" s="302"/>
    </row>
    <row r="28" spans="1:19" hidden="1" x14ac:dyDescent="0.3">
      <c r="A28" s="362"/>
      <c r="B28" s="381" t="s">
        <v>142</v>
      </c>
      <c r="C28" s="368"/>
      <c r="D28" s="382">
        <f>(C5-D14)*D15</f>
        <v>6.0987999624191378</v>
      </c>
      <c r="E28" s="374">
        <f>(C5-F14)*E15</f>
        <v>2.8875536875264984</v>
      </c>
      <c r="F28" s="374">
        <f>(C5-E14)*F15</f>
        <v>158.30547020077</v>
      </c>
      <c r="G28" s="361"/>
      <c r="H28" s="471"/>
      <c r="I28" s="302"/>
      <c r="J28" s="302"/>
      <c r="K28" s="302"/>
      <c r="L28" s="302"/>
      <c r="M28" s="302"/>
      <c r="N28" s="302"/>
    </row>
    <row r="29" spans="1:19" hidden="1" x14ac:dyDescent="0.3">
      <c r="A29" s="362"/>
      <c r="B29" s="366"/>
      <c r="C29" s="369"/>
      <c r="D29" s="370"/>
      <c r="E29" s="370"/>
      <c r="F29" s="370"/>
      <c r="G29" s="361"/>
      <c r="H29" s="471"/>
      <c r="I29" s="360"/>
      <c r="J29" s="360"/>
      <c r="K29" s="360"/>
      <c r="L29" s="360"/>
      <c r="M29" s="360"/>
      <c r="N29" s="302"/>
    </row>
    <row r="30" spans="1:19" hidden="1" x14ac:dyDescent="0.3">
      <c r="A30" s="359"/>
      <c r="B30" s="379" t="s">
        <v>143</v>
      </c>
      <c r="C30" s="375"/>
      <c r="D30" s="372" t="s">
        <v>134</v>
      </c>
      <c r="E30" s="373" t="s">
        <v>31</v>
      </c>
      <c r="F30" s="373" t="s">
        <v>32</v>
      </c>
      <c r="G30" s="361"/>
      <c r="H30" s="471"/>
      <c r="I30" s="360"/>
      <c r="J30" s="360"/>
      <c r="K30" s="360"/>
      <c r="L30" s="360"/>
      <c r="M30" s="360"/>
      <c r="N30" s="302"/>
    </row>
    <row r="31" spans="1:19" hidden="1" x14ac:dyDescent="0.3">
      <c r="A31" s="359"/>
      <c r="B31" s="376" t="s">
        <v>144</v>
      </c>
      <c r="C31" s="377"/>
      <c r="D31" s="370">
        <f>D15</f>
        <v>120.93630290310986</v>
      </c>
      <c r="E31" s="370">
        <f>E15</f>
        <v>66.228992617871882</v>
      </c>
      <c r="F31" s="378">
        <f>F15</f>
        <v>2713.9537246175951</v>
      </c>
      <c r="G31" s="361"/>
      <c r="H31" s="471"/>
      <c r="I31" s="360"/>
      <c r="J31" s="360"/>
      <c r="K31" s="360"/>
      <c r="L31" s="360"/>
      <c r="M31" s="360"/>
      <c r="N31" s="302"/>
    </row>
    <row r="32" spans="1:19" s="300" customFormat="1" hidden="1" x14ac:dyDescent="0.3">
      <c r="A32" s="364"/>
      <c r="B32" s="380" t="s">
        <v>140</v>
      </c>
      <c r="C32" s="367"/>
      <c r="D32" s="374">
        <f>ABS((1-(C5-D14))*D15)</f>
        <v>114.83750294069073</v>
      </c>
      <c r="E32" s="374">
        <f>ABS((1-(C5-F14))*E15)</f>
        <v>63.341438930345383</v>
      </c>
      <c r="F32" s="374">
        <f>ABS((1-(C5-E14))*F15)</f>
        <v>2555.6482544168252</v>
      </c>
      <c r="G32" s="361"/>
      <c r="H32" s="471"/>
      <c r="I32" s="360"/>
      <c r="J32" s="360"/>
      <c r="K32" s="360"/>
      <c r="L32" s="360"/>
      <c r="M32" s="360"/>
      <c r="N32" s="302"/>
      <c r="O32" s="301"/>
    </row>
    <row r="33" spans="1:24" hidden="1" x14ac:dyDescent="0.3">
      <c r="A33" s="359"/>
      <c r="B33" s="381" t="s">
        <v>145</v>
      </c>
      <c r="C33" s="367"/>
      <c r="D33" s="374">
        <f>D15*D14</f>
        <v>1</v>
      </c>
      <c r="E33" s="374">
        <f>E15*F14</f>
        <v>0.99999999999999989</v>
      </c>
      <c r="F33" s="374">
        <f>F15*E14</f>
        <v>1</v>
      </c>
      <c r="G33" s="361"/>
      <c r="H33" s="471"/>
      <c r="I33" s="360"/>
      <c r="J33" s="360"/>
      <c r="K33" s="360"/>
      <c r="L33" s="360"/>
      <c r="M33" s="360"/>
      <c r="N33" s="302"/>
    </row>
    <row r="34" spans="1:24" hidden="1" x14ac:dyDescent="0.3">
      <c r="A34" s="359"/>
      <c r="B34" s="381" t="s">
        <v>146</v>
      </c>
      <c r="C34" s="368"/>
      <c r="D34" s="374">
        <f>ABS(C5*D15)</f>
        <v>7.0987999624191378</v>
      </c>
      <c r="E34" s="374">
        <f>ABS(C5*E15)</f>
        <v>3.887553687526498</v>
      </c>
      <c r="F34" s="374">
        <f>ABS(C5*F15)</f>
        <v>159.30547020077</v>
      </c>
      <c r="G34" s="361"/>
      <c r="H34" s="471"/>
      <c r="I34" s="360"/>
      <c r="J34" s="360"/>
      <c r="K34" s="360"/>
      <c r="L34" s="360"/>
      <c r="M34" s="360"/>
      <c r="N34" s="302"/>
    </row>
    <row r="35" spans="1:24" x14ac:dyDescent="0.3">
      <c r="A35" s="359"/>
      <c r="B35" s="359"/>
      <c r="C35" s="361"/>
      <c r="D35" s="361"/>
      <c r="E35" s="361"/>
      <c r="F35" s="361"/>
      <c r="G35" s="361"/>
      <c r="H35" s="471"/>
      <c r="I35" s="360"/>
      <c r="J35" s="360"/>
      <c r="K35" s="360"/>
      <c r="L35" s="360"/>
      <c r="M35" s="360"/>
      <c r="N35" s="302"/>
    </row>
    <row r="36" spans="1:24" ht="27.75" customHeight="1" x14ac:dyDescent="0.3">
      <c r="A36" s="318"/>
      <c r="B36" s="354"/>
      <c r="C36" s="355" t="s">
        <v>173</v>
      </c>
      <c r="D36" s="355" t="s">
        <v>136</v>
      </c>
      <c r="E36" s="355" t="s">
        <v>119</v>
      </c>
      <c r="F36" s="355" t="s">
        <v>120</v>
      </c>
      <c r="G36" s="355" t="s">
        <v>121</v>
      </c>
      <c r="H36" s="472"/>
      <c r="N36" s="446" t="s">
        <v>130</v>
      </c>
      <c r="O36" s="446" t="s">
        <v>107</v>
      </c>
      <c r="P36" s="1"/>
      <c r="Q36" s="446" t="s">
        <v>106</v>
      </c>
      <c r="R36" s="446" t="s">
        <v>107</v>
      </c>
      <c r="S36" s="1"/>
      <c r="T36" s="256" t="s">
        <v>2</v>
      </c>
      <c r="U36" s="257" t="s">
        <v>3</v>
      </c>
      <c r="V36" s="384" t="s">
        <v>1</v>
      </c>
      <c r="W36" s="251" t="s">
        <v>127</v>
      </c>
    </row>
    <row r="37" spans="1:24" ht="21" customHeight="1" x14ac:dyDescent="0.3">
      <c r="A37" s="318"/>
      <c r="B37" s="354"/>
      <c r="C37" s="356" t="str">
        <f>C22</f>
        <v>5,04%</v>
      </c>
      <c r="D37" s="356" t="str">
        <f>D22</f>
        <v>5,87%</v>
      </c>
      <c r="E37" s="356" t="str">
        <f>E22</f>
        <v>0,86 (0,74-0,99)</v>
      </c>
      <c r="F37" s="356" t="str">
        <f>F22</f>
        <v>0,83% (0,04% a 1,51%)</v>
      </c>
      <c r="G37" s="356" t="str">
        <f>G22</f>
        <v>121 (66 a 2714)</v>
      </c>
      <c r="H37" s="471"/>
      <c r="N37" s="357">
        <f>IF((F19*F20&lt;0),(C19+D19)/2,C19)</f>
        <v>5.04E-2</v>
      </c>
      <c r="O37" s="357">
        <f>IF((F19*F20&lt;0),(C19+D19)/2,D19)</f>
        <v>5.8700000000000002E-2</v>
      </c>
      <c r="P37" s="319"/>
      <c r="Q37" s="473">
        <f>N37*100</f>
        <v>5.04</v>
      </c>
      <c r="R37" s="473">
        <f>O37*100</f>
        <v>5.87</v>
      </c>
      <c r="S37" s="300"/>
      <c r="T37" s="474">
        <f>P20</f>
        <v>21.262999999999998</v>
      </c>
      <c r="U37" s="475">
        <f>Q20</f>
        <v>9.1300000000000048E-2</v>
      </c>
      <c r="V37" s="476">
        <f>R20</f>
        <v>0.64570000000000005</v>
      </c>
      <c r="W37" s="297">
        <f>SUM(T37:V37)</f>
        <v>22</v>
      </c>
      <c r="X37" s="69" t="str">
        <f>J3</f>
        <v>meses</v>
      </c>
    </row>
    <row r="38" spans="1:24" x14ac:dyDescent="0.3">
      <c r="A38" s="359"/>
      <c r="B38" s="359"/>
      <c r="C38" s="361"/>
      <c r="D38" s="361"/>
      <c r="E38" s="361"/>
      <c r="F38" s="361"/>
      <c r="G38" s="361"/>
      <c r="H38" s="471"/>
      <c r="I38" s="360"/>
      <c r="J38" s="360"/>
      <c r="K38" s="360"/>
      <c r="L38" s="360"/>
      <c r="M38" s="360"/>
      <c r="N38" s="302"/>
      <c r="S38" s="300"/>
    </row>
    <row r="39" spans="1:24" x14ac:dyDescent="0.3">
      <c r="A39" s="359"/>
      <c r="B39" s="407" t="s">
        <v>174</v>
      </c>
      <c r="C39" s="361"/>
      <c r="D39" s="361"/>
      <c r="E39" s="361"/>
      <c r="F39" s="361"/>
      <c r="G39" s="361"/>
      <c r="H39" s="471"/>
      <c r="I39" s="360"/>
      <c r="J39" s="360"/>
      <c r="K39" s="360"/>
      <c r="L39" s="360"/>
      <c r="M39" s="360"/>
      <c r="N39" s="302"/>
    </row>
    <row r="40" spans="1:24" ht="13.5" thickBot="1" x14ac:dyDescent="0.35">
      <c r="A40" s="477"/>
      <c r="B40" s="445" t="s">
        <v>175</v>
      </c>
      <c r="C40" s="361"/>
      <c r="D40" s="361"/>
      <c r="E40" s="361"/>
      <c r="F40" s="361"/>
      <c r="G40" s="361"/>
      <c r="H40" s="471"/>
      <c r="I40" s="360"/>
      <c r="J40" s="360"/>
      <c r="K40" s="360"/>
      <c r="L40" s="360"/>
      <c r="M40" s="360"/>
      <c r="N40" s="302"/>
      <c r="S40" s="478"/>
    </row>
    <row r="41" spans="1:24" ht="54" customHeight="1" thickBot="1" x14ac:dyDescent="0.35">
      <c r="A41" s="479"/>
      <c r="B41" s="758" t="s">
        <v>176</v>
      </c>
      <c r="C41" s="759"/>
      <c r="D41" s="759"/>
      <c r="E41" s="759"/>
      <c r="F41" s="759"/>
      <c r="G41" s="760"/>
      <c r="H41" s="480"/>
      <c r="I41" s="478"/>
      <c r="J41" s="478"/>
      <c r="K41" s="478"/>
      <c r="L41" s="478"/>
      <c r="M41" s="478"/>
      <c r="N41" s="478"/>
      <c r="O41" s="481"/>
      <c r="P41" s="478"/>
      <c r="Q41" s="761" t="s">
        <v>122</v>
      </c>
      <c r="R41" s="762"/>
      <c r="S41" s="405"/>
      <c r="T41" s="697" t="s">
        <v>177</v>
      </c>
      <c r="U41" s="698"/>
      <c r="V41" s="698"/>
      <c r="W41" s="699"/>
      <c r="X41" s="478"/>
    </row>
    <row r="42" spans="1:24" ht="67.5" customHeight="1" x14ac:dyDescent="0.3">
      <c r="A42" s="479"/>
      <c r="B42" s="399" t="s">
        <v>174</v>
      </c>
      <c r="C42" s="278" t="s">
        <v>178</v>
      </c>
      <c r="D42" s="298" t="s">
        <v>179</v>
      </c>
      <c r="E42" s="746" t="s">
        <v>180</v>
      </c>
      <c r="F42" s="746"/>
      <c r="G42" s="747"/>
      <c r="H42" s="482"/>
      <c r="I42" s="748" t="s">
        <v>181</v>
      </c>
      <c r="J42" s="748" t="s">
        <v>182</v>
      </c>
      <c r="K42" s="748" t="s">
        <v>183</v>
      </c>
      <c r="L42" s="750" t="s">
        <v>184</v>
      </c>
      <c r="M42" s="748" t="s">
        <v>185</v>
      </c>
      <c r="N42" s="483"/>
      <c r="O42" s="484"/>
      <c r="P42" s="485"/>
      <c r="Q42" s="741" t="s">
        <v>186</v>
      </c>
      <c r="R42" s="742"/>
      <c r="S42" s="405"/>
      <c r="T42" s="725" t="s">
        <v>125</v>
      </c>
      <c r="U42" s="727" t="s">
        <v>126</v>
      </c>
      <c r="V42" s="729" t="s">
        <v>169</v>
      </c>
      <c r="W42" s="713" t="s">
        <v>128</v>
      </c>
      <c r="X42" s="478"/>
    </row>
    <row r="43" spans="1:24" ht="35" customHeight="1" thickBot="1" x14ac:dyDescent="0.35">
      <c r="A43" s="479"/>
      <c r="B43" s="400" t="s">
        <v>187</v>
      </c>
      <c r="C43" s="280" t="s">
        <v>150</v>
      </c>
      <c r="D43" s="281" t="s">
        <v>151</v>
      </c>
      <c r="E43" s="282" t="s">
        <v>119</v>
      </c>
      <c r="F43" s="283" t="s">
        <v>120</v>
      </c>
      <c r="G43" s="284" t="s">
        <v>121</v>
      </c>
      <c r="H43" s="486"/>
      <c r="I43" s="749"/>
      <c r="J43" s="749"/>
      <c r="K43" s="749"/>
      <c r="L43" s="751"/>
      <c r="M43" s="749"/>
      <c r="N43" s="483"/>
      <c r="O43" s="484"/>
      <c r="P43" s="485"/>
      <c r="Q43" s="280" t="s">
        <v>188</v>
      </c>
      <c r="R43" s="281" t="s">
        <v>13</v>
      </c>
      <c r="S43" s="405"/>
      <c r="T43" s="726"/>
      <c r="U43" s="728"/>
      <c r="V43" s="730"/>
      <c r="W43" s="714"/>
      <c r="X43" s="478"/>
    </row>
    <row r="44" spans="1:24" ht="5" customHeight="1" x14ac:dyDescent="0.3">
      <c r="A44" s="479"/>
      <c r="B44" s="285"/>
      <c r="C44" s="286"/>
      <c r="D44" s="286"/>
      <c r="E44" s="287"/>
      <c r="F44" s="287"/>
      <c r="G44" s="287"/>
      <c r="H44" s="487"/>
      <c r="I44" s="478"/>
      <c r="J44" s="478"/>
      <c r="K44" s="478"/>
      <c r="L44" s="478"/>
      <c r="M44" s="478"/>
      <c r="N44" s="478"/>
      <c r="O44" s="481"/>
      <c r="P44" s="478"/>
      <c r="Q44" s="478"/>
      <c r="R44" s="478"/>
      <c r="S44" s="478"/>
      <c r="T44" s="478"/>
      <c r="U44" s="478"/>
      <c r="V44" s="478"/>
      <c r="W44" s="478"/>
      <c r="X44" s="478"/>
    </row>
    <row r="45" spans="1:24" ht="18.5" customHeight="1" x14ac:dyDescent="0.3">
      <c r="A45" s="479"/>
      <c r="B45" s="488" t="s">
        <v>189</v>
      </c>
      <c r="C45" s="286"/>
      <c r="D45" s="286"/>
      <c r="E45" s="287"/>
      <c r="F45" s="287"/>
      <c r="G45" s="287"/>
      <c r="H45" s="487"/>
      <c r="I45" s="478"/>
      <c r="J45" s="478"/>
      <c r="K45" s="478"/>
      <c r="L45" s="478"/>
      <c r="M45" s="478"/>
      <c r="N45" s="478"/>
      <c r="O45" s="481"/>
      <c r="P45" s="478"/>
      <c r="Q45" s="478"/>
      <c r="R45" s="478"/>
      <c r="S45" s="478"/>
      <c r="T45" s="478"/>
      <c r="U45" s="478"/>
      <c r="V45" s="478"/>
      <c r="W45" s="478"/>
      <c r="X45" s="478"/>
    </row>
    <row r="46" spans="1:24" ht="44" customHeight="1" x14ac:dyDescent="0.3">
      <c r="A46" s="489" t="s">
        <v>190</v>
      </c>
      <c r="B46" s="490" t="s">
        <v>191</v>
      </c>
      <c r="C46" s="398" t="s">
        <v>192</v>
      </c>
      <c r="D46" s="398" t="s">
        <v>193</v>
      </c>
      <c r="E46" s="288" t="s">
        <v>194</v>
      </c>
      <c r="F46" s="288" t="s">
        <v>195</v>
      </c>
      <c r="G46" s="491" t="s">
        <v>196</v>
      </c>
      <c r="H46" s="492"/>
      <c r="I46" s="493" t="s">
        <v>197</v>
      </c>
      <c r="J46" s="494" t="s">
        <v>198</v>
      </c>
      <c r="K46" s="495" t="s">
        <v>199</v>
      </c>
      <c r="L46" s="496" t="s">
        <v>200</v>
      </c>
      <c r="M46" s="497" t="s">
        <v>201</v>
      </c>
      <c r="N46" s="498"/>
      <c r="O46" s="498"/>
      <c r="P46" s="498"/>
      <c r="Q46" s="499">
        <v>5.04</v>
      </c>
      <c r="R46" s="500">
        <v>5.87</v>
      </c>
      <c r="S46" s="405"/>
      <c r="T46" s="501">
        <v>21.262999999999998</v>
      </c>
      <c r="U46" s="502">
        <v>9.1300000000000048E-2</v>
      </c>
      <c r="V46" s="447">
        <v>0.64570000000000005</v>
      </c>
      <c r="W46" s="503">
        <v>22</v>
      </c>
      <c r="X46" s="448" t="s">
        <v>111</v>
      </c>
    </row>
    <row r="47" spans="1:24" ht="5" customHeight="1" x14ac:dyDescent="0.35">
      <c r="A47" s="504"/>
      <c r="B47" s="505"/>
      <c r="C47" s="286"/>
      <c r="D47" s="286"/>
      <c r="E47" s="287"/>
      <c r="F47" s="287"/>
      <c r="G47" s="287"/>
      <c r="H47" s="487"/>
      <c r="I47" s="478"/>
      <c r="J47" s="478"/>
      <c r="K47" s="478"/>
      <c r="M47" s="506"/>
      <c r="N47" s="498"/>
      <c r="O47" s="498"/>
      <c r="P47" s="478"/>
      <c r="Q47" s="507"/>
      <c r="R47" s="507"/>
      <c r="S47" s="405"/>
      <c r="T47" s="508"/>
      <c r="U47" s="508"/>
      <c r="V47" s="508"/>
      <c r="W47" s="509"/>
      <c r="X47" s="478"/>
    </row>
    <row r="48" spans="1:24" ht="44" customHeight="1" x14ac:dyDescent="0.3">
      <c r="A48" s="489" t="s">
        <v>202</v>
      </c>
      <c r="B48" s="516"/>
      <c r="C48" s="510"/>
      <c r="D48" s="510"/>
      <c r="E48" s="289"/>
      <c r="F48" s="289"/>
      <c r="G48" s="517"/>
      <c r="H48" s="514"/>
      <c r="I48" s="330"/>
      <c r="J48" s="518"/>
      <c r="K48" s="496"/>
      <c r="L48" s="496"/>
      <c r="M48" s="519"/>
      <c r="N48" s="498"/>
      <c r="O48" s="498"/>
      <c r="P48" s="360"/>
      <c r="Q48" s="520"/>
      <c r="R48" s="520"/>
      <c r="S48" s="405"/>
      <c r="T48" s="520"/>
      <c r="U48" s="520"/>
      <c r="V48" s="520"/>
      <c r="W48" s="521"/>
      <c r="X48" s="448"/>
    </row>
    <row r="49" spans="1:24" ht="5" customHeight="1" x14ac:dyDescent="0.35">
      <c r="A49" s="504"/>
      <c r="B49" s="522"/>
      <c r="C49" s="511"/>
      <c r="D49" s="511"/>
      <c r="E49" s="487"/>
      <c r="F49" s="487"/>
      <c r="G49" s="487"/>
      <c r="H49" s="487"/>
      <c r="M49" s="523"/>
      <c r="N49" s="498"/>
      <c r="O49" s="498"/>
      <c r="P49" s="300"/>
      <c r="Q49" s="524"/>
      <c r="R49" s="524"/>
      <c r="S49" s="405"/>
      <c r="T49" s="524"/>
      <c r="U49" s="524"/>
      <c r="V49" s="524"/>
      <c r="W49" s="525"/>
      <c r="X49" s="478"/>
    </row>
    <row r="50" spans="1:24" ht="44" customHeight="1" x14ac:dyDescent="0.3">
      <c r="A50" s="489" t="s">
        <v>203</v>
      </c>
      <c r="B50" s="516"/>
      <c r="C50" s="510"/>
      <c r="D50" s="510"/>
      <c r="E50" s="289"/>
      <c r="F50" s="289"/>
      <c r="G50" s="289"/>
      <c r="H50" s="514"/>
      <c r="I50" s="330"/>
      <c r="J50" s="518"/>
      <c r="K50" s="496"/>
      <c r="L50" s="496"/>
      <c r="M50" s="519"/>
      <c r="N50" s="498"/>
      <c r="O50" s="498"/>
      <c r="P50" s="360"/>
      <c r="Q50" s="520"/>
      <c r="R50" s="520"/>
      <c r="S50" s="405"/>
      <c r="T50" s="520"/>
      <c r="U50" s="520"/>
      <c r="V50" s="520"/>
      <c r="W50" s="521"/>
      <c r="X50" s="515"/>
    </row>
    <row r="51" spans="1:24" ht="5" customHeight="1" x14ac:dyDescent="0.3">
      <c r="A51" s="504"/>
      <c r="B51" s="505"/>
      <c r="C51" s="286"/>
      <c r="D51" s="286"/>
      <c r="E51" s="287"/>
      <c r="F51" s="287"/>
      <c r="G51" s="287"/>
      <c r="H51" s="487"/>
      <c r="I51" s="478"/>
      <c r="J51" s="478"/>
      <c r="K51" s="478"/>
      <c r="N51" s="478"/>
      <c r="O51" s="481"/>
      <c r="P51" s="478"/>
      <c r="Q51" s="507"/>
      <c r="R51" s="507"/>
      <c r="S51" s="405"/>
      <c r="T51" s="508"/>
      <c r="U51" s="508"/>
      <c r="V51" s="508"/>
      <c r="W51" s="509"/>
      <c r="X51" s="478"/>
    </row>
    <row r="52" spans="1:24" ht="5" customHeight="1" x14ac:dyDescent="0.3">
      <c r="A52" s="478"/>
      <c r="B52" s="478"/>
      <c r="C52" s="512"/>
      <c r="D52" s="512"/>
      <c r="E52" s="512"/>
      <c r="F52" s="512"/>
      <c r="G52" s="512"/>
      <c r="H52" s="512"/>
      <c r="I52" s="478"/>
      <c r="J52" s="478"/>
      <c r="K52" s="478"/>
      <c r="L52" s="478"/>
      <c r="M52" s="478"/>
      <c r="N52" s="478"/>
      <c r="O52" s="481"/>
      <c r="P52" s="478"/>
      <c r="Q52" s="478"/>
      <c r="R52" s="478"/>
      <c r="S52" s="405"/>
      <c r="T52" s="478"/>
      <c r="U52" s="478"/>
      <c r="V52" s="478"/>
      <c r="W52" s="478"/>
      <c r="X52" s="478"/>
    </row>
    <row r="53" spans="1:24" ht="61.5" customHeight="1" x14ac:dyDescent="0.3">
      <c r="A53" s="478"/>
      <c r="B53" s="743" t="s">
        <v>204</v>
      </c>
      <c r="C53" s="744"/>
      <c r="D53" s="744"/>
      <c r="E53" s="744"/>
      <c r="F53" s="744"/>
      <c r="G53" s="744"/>
      <c r="H53" s="744"/>
      <c r="I53" s="744"/>
      <c r="J53" s="744"/>
      <c r="K53" s="744"/>
      <c r="L53" s="744"/>
      <c r="M53" s="744"/>
      <c r="N53" s="744"/>
      <c r="O53" s="744"/>
      <c r="P53" s="744"/>
      <c r="Q53" s="744"/>
      <c r="R53" s="745"/>
      <c r="S53" s="478"/>
      <c r="T53" s="508"/>
      <c r="U53" s="478"/>
      <c r="V53" s="478"/>
      <c r="W53" s="478"/>
      <c r="X53" s="478"/>
    </row>
    <row r="54" spans="1:24" ht="3.5" customHeight="1" x14ac:dyDescent="0.3">
      <c r="A54" s="478"/>
      <c r="B54" s="478"/>
      <c r="C54" s="512"/>
      <c r="D54" s="512"/>
      <c r="E54" s="512"/>
      <c r="F54" s="512"/>
      <c r="G54" s="512"/>
      <c r="H54" s="512"/>
      <c r="I54" s="478"/>
      <c r="J54" s="478"/>
      <c r="K54" s="478"/>
      <c r="L54" s="478"/>
      <c r="M54" s="478"/>
      <c r="N54" s="478"/>
      <c r="O54" s="481"/>
      <c r="P54" s="478"/>
      <c r="Q54" s="478"/>
      <c r="R54" s="478"/>
      <c r="S54" s="478"/>
      <c r="T54" s="478"/>
      <c r="U54" s="478"/>
      <c r="V54" s="478"/>
      <c r="W54" s="478"/>
      <c r="X54" s="478"/>
    </row>
    <row r="55" spans="1:24" ht="19" customHeight="1" x14ac:dyDescent="0.3">
      <c r="A55" s="478"/>
      <c r="B55" s="740" t="s">
        <v>205</v>
      </c>
      <c r="C55" s="740"/>
      <c r="D55" s="740"/>
      <c r="E55" s="740"/>
      <c r="F55" s="740"/>
      <c r="G55" s="740"/>
      <c r="H55" s="740"/>
      <c r="I55" s="740"/>
      <c r="J55" s="740"/>
      <c r="K55" s="740"/>
      <c r="L55" s="740"/>
      <c r="M55" s="740"/>
      <c r="N55" s="740"/>
      <c r="O55" s="740"/>
      <c r="P55" s="740"/>
      <c r="Q55" s="478"/>
      <c r="R55" s="478"/>
      <c r="S55" s="478"/>
      <c r="T55" s="478"/>
      <c r="U55" s="478"/>
      <c r="V55" s="478"/>
      <c r="W55" s="478"/>
      <c r="X55" s="478"/>
    </row>
    <row r="56" spans="1:24" x14ac:dyDescent="0.3">
      <c r="A56" s="478"/>
      <c r="B56" s="478"/>
      <c r="C56" s="513"/>
      <c r="D56" s="513"/>
      <c r="E56" s="513"/>
      <c r="F56" s="513"/>
      <c r="G56" s="513"/>
      <c r="H56" s="513"/>
      <c r="I56" s="478"/>
      <c r="J56" s="478"/>
      <c r="K56" s="478"/>
      <c r="L56" s="478"/>
      <c r="M56" s="478"/>
      <c r="N56" s="478"/>
      <c r="O56" s="481"/>
      <c r="P56" s="478"/>
      <c r="Q56" s="478"/>
      <c r="R56" s="478"/>
      <c r="S56" s="478"/>
      <c r="T56" s="478"/>
      <c r="U56" s="478"/>
      <c r="V56" s="478"/>
      <c r="W56" s="478"/>
      <c r="X56" s="478"/>
    </row>
    <row r="57" spans="1:24" x14ac:dyDescent="0.3">
      <c r="C57" s="365"/>
      <c r="D57" s="365"/>
      <c r="E57" s="365"/>
      <c r="F57" s="365"/>
      <c r="G57" s="365"/>
      <c r="H57" s="308"/>
    </row>
    <row r="58" spans="1:24" x14ac:dyDescent="0.3">
      <c r="C58" s="365"/>
      <c r="D58" s="365"/>
      <c r="E58" s="365"/>
      <c r="F58" s="365"/>
      <c r="G58" s="365"/>
      <c r="H58" s="308"/>
    </row>
    <row r="59" spans="1:24" x14ac:dyDescent="0.3">
      <c r="C59" s="365"/>
      <c r="D59" s="365"/>
      <c r="E59" s="365"/>
      <c r="F59" s="365"/>
      <c r="G59" s="365"/>
      <c r="H59" s="308"/>
    </row>
    <row r="60" spans="1:24" x14ac:dyDescent="0.3">
      <c r="C60" s="365"/>
      <c r="D60" s="365"/>
      <c r="E60" s="365"/>
      <c r="F60" s="365"/>
      <c r="G60" s="365"/>
      <c r="H60" s="308"/>
    </row>
    <row r="61" spans="1:24" x14ac:dyDescent="0.3">
      <c r="C61" s="365"/>
      <c r="D61" s="365"/>
      <c r="E61" s="365"/>
      <c r="F61" s="365"/>
      <c r="G61" s="365"/>
      <c r="H61" s="308"/>
    </row>
    <row r="62" spans="1:24" x14ac:dyDescent="0.3">
      <c r="C62" s="365"/>
      <c r="D62" s="365"/>
      <c r="E62" s="365"/>
      <c r="F62" s="365"/>
      <c r="G62" s="365"/>
      <c r="H62" s="308"/>
    </row>
    <row r="63" spans="1:24" x14ac:dyDescent="0.3">
      <c r="C63" s="365"/>
      <c r="D63" s="365"/>
      <c r="E63" s="365"/>
      <c r="F63" s="365"/>
      <c r="G63" s="365"/>
      <c r="H63" s="308"/>
    </row>
    <row r="64" spans="1:24" x14ac:dyDescent="0.3">
      <c r="C64" s="365"/>
      <c r="D64" s="365"/>
      <c r="E64" s="365"/>
      <c r="F64" s="365"/>
      <c r="G64" s="365"/>
      <c r="H64" s="308"/>
    </row>
    <row r="65" spans="3:8" x14ac:dyDescent="0.3">
      <c r="C65" s="365"/>
      <c r="D65" s="365"/>
      <c r="E65" s="365"/>
      <c r="F65" s="365"/>
      <c r="G65" s="365"/>
      <c r="H65" s="308"/>
    </row>
    <row r="66" spans="3:8" ht="12.75" customHeight="1" x14ac:dyDescent="0.3"/>
  </sheetData>
  <mergeCells count="19">
    <mergeCell ref="T41:W41"/>
    <mergeCell ref="B2:F2"/>
    <mergeCell ref="B3:F3"/>
    <mergeCell ref="D5:F5"/>
    <mergeCell ref="B41:G41"/>
    <mergeCell ref="Q41:R41"/>
    <mergeCell ref="W42:W43"/>
    <mergeCell ref="B53:R53"/>
    <mergeCell ref="E42:G42"/>
    <mergeCell ref="I42:I43"/>
    <mergeCell ref="J42:J43"/>
    <mergeCell ref="K42:K43"/>
    <mergeCell ref="L42:L43"/>
    <mergeCell ref="M42:M43"/>
    <mergeCell ref="B55:P55"/>
    <mergeCell ref="Q42:R42"/>
    <mergeCell ref="T42:T43"/>
    <mergeCell ref="U42:U43"/>
    <mergeCell ref="V42:V43"/>
  </mergeCells>
  <pageMargins left="0.7" right="0.7" top="0.75" bottom="0.75" header="0.3" footer="0.3"/>
  <ignoredErrors>
    <ignoredError sqref="C46:D4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0E0E-D8E9-4B6E-838C-CE156B1DEA43}">
  <dimension ref="A1:BK143"/>
  <sheetViews>
    <sheetView topLeftCell="A3" zoomScale="70" zoomScaleNormal="70" workbookViewId="0">
      <selection activeCell="B3" sqref="B3"/>
    </sheetView>
  </sheetViews>
  <sheetFormatPr baseColWidth="10" defaultRowHeight="14.5" x14ac:dyDescent="0.35"/>
  <cols>
    <col min="1" max="1" width="1.1796875" customWidth="1"/>
    <col min="2" max="2" width="16.54296875" customWidth="1"/>
    <col min="4" max="5" width="10.54296875" customWidth="1"/>
    <col min="6" max="6" width="5.81640625" customWidth="1"/>
    <col min="7" max="7" width="5.1796875" customWidth="1"/>
    <col min="8" max="29" width="2.6328125" customWidth="1"/>
    <col min="30" max="30" width="5.08984375" customWidth="1"/>
    <col min="31" max="31" width="4.453125" customWidth="1"/>
    <col min="32" max="32" width="4.54296875" customWidth="1"/>
    <col min="33" max="54" width="2.6328125" customWidth="1"/>
    <col min="55" max="55" width="4.81640625" style="20" customWidth="1"/>
    <col min="56" max="56" width="3.7265625" style="20" customWidth="1"/>
    <col min="57" max="57" width="2.1796875" style="20" customWidth="1"/>
    <col min="58" max="63" width="3.7265625" style="20" customWidth="1"/>
    <col min="71" max="71" width="2.54296875" customWidth="1"/>
  </cols>
  <sheetData>
    <row r="1" spans="1:62" hidden="1" x14ac:dyDescent="0.35">
      <c r="B1" s="19" t="str">
        <f>C8</f>
        <v>meses</v>
      </c>
      <c r="C1" s="19" t="s">
        <v>4</v>
      </c>
      <c r="D1" s="19" t="s">
        <v>5</v>
      </c>
      <c r="E1" s="19" t="s">
        <v>6</v>
      </c>
      <c r="F1" s="19"/>
      <c r="G1" s="19"/>
      <c r="BC1"/>
      <c r="BD1"/>
      <c r="BE1"/>
      <c r="BF1"/>
      <c r="BG1"/>
    </row>
    <row r="2" spans="1:62" hidden="1" x14ac:dyDescent="0.35">
      <c r="B2" s="19" t="s">
        <v>7</v>
      </c>
      <c r="C2" s="19" t="s">
        <v>8</v>
      </c>
      <c r="D2" s="19" t="s">
        <v>9</v>
      </c>
      <c r="E2" s="19" t="s">
        <v>10</v>
      </c>
      <c r="F2" s="19" t="str">
        <f>CONCATENATE(C2," ",C6," ",D2," ",C12," ",C8)</f>
        <v>puede representarse llegando los 121 pacientes, a los 26 meses</v>
      </c>
      <c r="G2" s="19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BC2"/>
      <c r="BD2"/>
      <c r="BE2"/>
      <c r="BF2"/>
      <c r="BG2"/>
    </row>
    <row r="3" spans="1:62" ht="8.25" customHeight="1" thickBot="1" x14ac:dyDescent="0.4">
      <c r="A3" s="526"/>
      <c r="B3" s="527"/>
      <c r="C3" s="526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8"/>
      <c r="AE3" s="528"/>
      <c r="AF3" s="528"/>
      <c r="AG3" s="526"/>
      <c r="AH3" s="526"/>
      <c r="AI3" s="526"/>
      <c r="AJ3" s="526"/>
      <c r="AK3" s="526"/>
      <c r="AL3" s="526"/>
      <c r="AM3" s="526"/>
      <c r="AN3" s="526"/>
      <c r="AO3" s="526"/>
      <c r="AP3" s="526"/>
      <c r="AQ3" s="526"/>
      <c r="AR3" s="526"/>
      <c r="AS3" s="526"/>
      <c r="AT3" s="526"/>
      <c r="AU3" s="526"/>
      <c r="AV3" s="526"/>
      <c r="AW3" s="526"/>
      <c r="AX3" s="526"/>
      <c r="AY3" s="526"/>
      <c r="AZ3" s="526"/>
      <c r="BA3" s="526"/>
      <c r="BB3" s="526"/>
      <c r="BC3" s="526"/>
      <c r="BD3" s="526"/>
      <c r="BE3" s="526"/>
      <c r="BF3"/>
      <c r="BG3"/>
    </row>
    <row r="4" spans="1:62" ht="54.5" customHeight="1" thickBot="1" x14ac:dyDescent="0.4">
      <c r="A4" s="526"/>
      <c r="B4" s="763" t="s">
        <v>265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5"/>
      <c r="BE4" s="526"/>
      <c r="BF4"/>
      <c r="BG4"/>
    </row>
    <row r="5" spans="1:62" ht="9.5" customHeight="1" x14ac:dyDescent="0.35">
      <c r="A5" s="526"/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  <c r="AY5" s="529"/>
      <c r="AZ5" s="529"/>
      <c r="BA5" s="529"/>
      <c r="BB5" s="529"/>
      <c r="BC5" s="529"/>
      <c r="BD5" s="529"/>
      <c r="BE5" s="526"/>
      <c r="BF5"/>
      <c r="BG5"/>
    </row>
    <row r="6" spans="1:62" ht="26" x14ac:dyDescent="0.35">
      <c r="B6" s="530" t="s">
        <v>164</v>
      </c>
      <c r="C6" s="23">
        <f>D6+E6+F6</f>
        <v>121</v>
      </c>
      <c r="D6" s="531">
        <v>6</v>
      </c>
      <c r="E6" s="24">
        <v>1</v>
      </c>
      <c r="F6" s="25">
        <v>114</v>
      </c>
      <c r="H6" s="22"/>
      <c r="I6" s="532" t="s">
        <v>174</v>
      </c>
      <c r="J6" s="22"/>
      <c r="K6" s="409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BC6"/>
      <c r="BD6"/>
      <c r="BE6"/>
      <c r="BF6"/>
      <c r="BG6"/>
    </row>
    <row r="7" spans="1:62" ht="15.75" customHeight="1" x14ac:dyDescent="0.35">
      <c r="B7" s="22"/>
      <c r="C7" s="533">
        <f>D9/D6</f>
        <v>15.389183333333333</v>
      </c>
      <c r="D7" s="534">
        <f>D6*13</f>
        <v>78</v>
      </c>
      <c r="E7" s="535">
        <f>E9/(D6+E6)</f>
        <v>15.055857142857144</v>
      </c>
      <c r="F7" s="536">
        <f>(D6+E6)*11</f>
        <v>77</v>
      </c>
      <c r="G7" s="22"/>
      <c r="H7" s="22"/>
      <c r="I7" s="453"/>
      <c r="J7" s="22"/>
      <c r="K7" s="408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BC7"/>
      <c r="BD7"/>
      <c r="BE7"/>
      <c r="BF7"/>
      <c r="BG7"/>
    </row>
    <row r="8" spans="1:62" ht="39.75" customHeight="1" x14ac:dyDescent="0.35">
      <c r="B8" s="449" t="s">
        <v>165</v>
      </c>
      <c r="C8" s="28" t="s">
        <v>111</v>
      </c>
      <c r="D8" s="29" t="str">
        <f>CONCATENATE(B1," ",C1," ",C6," ",D1)</f>
        <v>meses de los 121 del grupo Interv</v>
      </c>
      <c r="E8" s="29" t="str">
        <f>CONCATENATE(B1," ",C1," ",C6," ",E1)</f>
        <v>meses de los 121 del grupo Contr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BC8"/>
      <c r="BD8"/>
      <c r="BE8"/>
      <c r="BF8"/>
      <c r="BG8"/>
    </row>
    <row r="9" spans="1:62" x14ac:dyDescent="0.35">
      <c r="B9" s="30" t="s">
        <v>1</v>
      </c>
      <c r="C9" s="31">
        <v>0.7631</v>
      </c>
      <c r="D9" s="32">
        <f>C9*C6</f>
        <v>92.335099999999997</v>
      </c>
      <c r="E9" s="734">
        <f>(C9+C10)*C6</f>
        <v>105.39100000000001</v>
      </c>
      <c r="F9" s="33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22"/>
      <c r="AE9" s="22"/>
      <c r="AF9" s="22"/>
      <c r="BC9"/>
      <c r="BD9"/>
      <c r="BE9"/>
      <c r="BF9"/>
      <c r="BG9"/>
    </row>
    <row r="10" spans="1:62" ht="26.5" x14ac:dyDescent="0.35">
      <c r="B10" s="35" t="s">
        <v>3</v>
      </c>
      <c r="C10" s="36">
        <v>0.1079</v>
      </c>
      <c r="D10" s="735">
        <f>(C11+C10)*C6</f>
        <v>3053.6648999999998</v>
      </c>
      <c r="E10" s="734"/>
      <c r="F10" s="27"/>
      <c r="G10" s="37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22"/>
      <c r="AE10" s="22"/>
      <c r="AF10" s="22"/>
      <c r="BC10"/>
      <c r="BD10"/>
      <c r="BE10"/>
      <c r="BF10"/>
      <c r="BG10"/>
    </row>
    <row r="11" spans="1:62" ht="26.5" x14ac:dyDescent="0.35">
      <c r="B11" s="38" t="s">
        <v>2</v>
      </c>
      <c r="C11" s="39">
        <v>25.128999999999998</v>
      </c>
      <c r="D11" s="735"/>
      <c r="E11" s="40">
        <f>C11*C6</f>
        <v>3040.6089999999999</v>
      </c>
      <c r="F11" s="26"/>
      <c r="G11" s="37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22"/>
      <c r="AE11" s="22"/>
      <c r="AF11" s="22"/>
      <c r="BC11"/>
      <c r="BD11"/>
      <c r="BE11"/>
      <c r="BF11"/>
      <c r="BG11"/>
    </row>
    <row r="12" spans="1:62" x14ac:dyDescent="0.35">
      <c r="B12" s="2"/>
      <c r="C12" s="42">
        <v>25.999999999999996</v>
      </c>
      <c r="D12" s="43">
        <f>D9+D10</f>
        <v>3145.9999999999995</v>
      </c>
      <c r="E12" s="43">
        <f>E9+E11</f>
        <v>3146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62" ht="9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62" x14ac:dyDescent="0.35">
      <c r="B14" s="22"/>
      <c r="C14" s="22"/>
      <c r="D14" s="22"/>
      <c r="E14" s="22"/>
      <c r="F14" s="22"/>
      <c r="G14" s="45" t="s">
        <v>12</v>
      </c>
      <c r="H14" s="22"/>
      <c r="I14" s="22"/>
      <c r="J14" s="22"/>
      <c r="K14" s="22"/>
      <c r="L14" s="22"/>
      <c r="M14" s="22"/>
      <c r="N14" s="22"/>
      <c r="O14" s="22"/>
      <c r="P14" s="22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62" ht="36" customHeight="1" x14ac:dyDescent="0.35">
      <c r="B15" s="22"/>
      <c r="C15" s="22"/>
      <c r="D15" s="22"/>
      <c r="E15" s="22"/>
      <c r="G15" s="766" t="str">
        <f>IF((AND(((C10+C11)/C12)&gt;((E6+F6)/C6),(C11/C12)&gt;(F6/C6))),F2,#REF!)</f>
        <v>puede representarse llegando los 121 pacientes, a los 26 meses</v>
      </c>
      <c r="H15" s="766"/>
      <c r="I15" s="766"/>
      <c r="J15" s="766"/>
      <c r="K15" s="766"/>
      <c r="L15" s="766"/>
      <c r="M15" s="766"/>
      <c r="N15" s="766"/>
      <c r="O15" s="766"/>
      <c r="P15" s="766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62" ht="18.75" customHeight="1" x14ac:dyDescent="0.35">
      <c r="B16" s="537" t="s">
        <v>206</v>
      </c>
      <c r="C16" s="450"/>
      <c r="D16" s="450"/>
      <c r="E16" s="450"/>
      <c r="G16" s="47"/>
      <c r="H16" s="538">
        <v>22</v>
      </c>
      <c r="I16" s="538">
        <v>21</v>
      </c>
      <c r="J16" s="538">
        <v>20</v>
      </c>
      <c r="K16" s="538">
        <v>19</v>
      </c>
      <c r="L16" s="538">
        <v>18</v>
      </c>
      <c r="M16" s="538">
        <v>17</v>
      </c>
      <c r="N16" s="538">
        <v>16</v>
      </c>
      <c r="O16" s="538">
        <v>15</v>
      </c>
      <c r="P16" s="538">
        <v>14</v>
      </c>
      <c r="Q16" s="538">
        <v>13</v>
      </c>
      <c r="R16" s="538">
        <v>12</v>
      </c>
      <c r="S16" s="538">
        <v>11</v>
      </c>
      <c r="T16" s="538">
        <v>10</v>
      </c>
      <c r="U16" s="538">
        <v>9</v>
      </c>
      <c r="V16" s="538">
        <v>8</v>
      </c>
      <c r="W16" s="538">
        <v>7</v>
      </c>
      <c r="X16" s="538">
        <v>6</v>
      </c>
      <c r="Y16" s="538">
        <v>5</v>
      </c>
      <c r="Z16" s="538">
        <v>4</v>
      </c>
      <c r="AA16" s="538">
        <v>3</v>
      </c>
      <c r="AB16" s="538">
        <v>2</v>
      </c>
      <c r="AC16" s="538">
        <v>1</v>
      </c>
      <c r="AD16" s="47"/>
      <c r="AE16" s="47"/>
      <c r="AF16" s="47"/>
      <c r="AG16" s="538">
        <v>22</v>
      </c>
      <c r="AH16" s="538">
        <v>21</v>
      </c>
      <c r="AI16" s="538">
        <v>20</v>
      </c>
      <c r="AJ16" s="538">
        <v>19</v>
      </c>
      <c r="AK16" s="538">
        <v>18</v>
      </c>
      <c r="AL16" s="538">
        <v>17</v>
      </c>
      <c r="AM16" s="538">
        <v>16</v>
      </c>
      <c r="AN16" s="538">
        <v>15</v>
      </c>
      <c r="AO16" s="538">
        <v>14</v>
      </c>
      <c r="AP16" s="538">
        <v>13</v>
      </c>
      <c r="AQ16" s="538">
        <v>12</v>
      </c>
      <c r="AR16" s="538">
        <v>11</v>
      </c>
      <c r="AS16" s="538">
        <v>10</v>
      </c>
      <c r="AT16" s="538">
        <v>9</v>
      </c>
      <c r="AU16" s="538">
        <v>8</v>
      </c>
      <c r="AV16" s="538">
        <v>7</v>
      </c>
      <c r="AW16" s="538">
        <v>6</v>
      </c>
      <c r="AX16" s="538">
        <v>5</v>
      </c>
      <c r="AY16" s="538">
        <v>4</v>
      </c>
      <c r="AZ16" s="538">
        <v>3</v>
      </c>
      <c r="BA16" s="538">
        <v>2</v>
      </c>
      <c r="BB16" s="538">
        <v>1</v>
      </c>
      <c r="BC16" s="47"/>
      <c r="BD16" s="47"/>
      <c r="BE16" s="47"/>
      <c r="BF16" s="47"/>
      <c r="BG16" s="47"/>
      <c r="BH16" s="47"/>
      <c r="BI16" s="47"/>
      <c r="BJ16" s="47"/>
    </row>
    <row r="17" spans="2:63" ht="17.25" customHeight="1" x14ac:dyDescent="0.35">
      <c r="B17" s="539" t="s">
        <v>207</v>
      </c>
      <c r="C17" s="540"/>
      <c r="D17" s="493" t="s">
        <v>197</v>
      </c>
      <c r="E17" s="497" t="s">
        <v>201</v>
      </c>
      <c r="H17" s="48" t="s">
        <v>208</v>
      </c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541"/>
      <c r="X17" s="541"/>
      <c r="Y17" s="541"/>
      <c r="Z17" s="541"/>
      <c r="AA17" s="541"/>
      <c r="AB17" s="541"/>
      <c r="AC17" s="541"/>
      <c r="AD17" s="46"/>
      <c r="AE17" s="46"/>
      <c r="AF17" s="46"/>
      <c r="AG17" s="541" t="s">
        <v>209</v>
      </c>
      <c r="AH17" s="541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7"/>
      <c r="BD17" s="47"/>
      <c r="BE17" s="47"/>
      <c r="BF17" s="47"/>
      <c r="BG17" s="47"/>
    </row>
    <row r="18" spans="2:63" ht="21" x14ac:dyDescent="0.35">
      <c r="B18" s="290" t="s">
        <v>210</v>
      </c>
      <c r="C18" s="46"/>
      <c r="D18" s="29" t="s">
        <v>211</v>
      </c>
      <c r="E18" s="542" t="s">
        <v>198</v>
      </c>
      <c r="H18" s="541" t="s">
        <v>212</v>
      </c>
      <c r="I18" s="541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541"/>
      <c r="U18" s="541"/>
      <c r="V18" s="541"/>
      <c r="W18" s="541"/>
      <c r="X18" s="541"/>
      <c r="Y18" s="541"/>
      <c r="Z18" s="541"/>
      <c r="AA18" s="541"/>
      <c r="AB18" s="541"/>
      <c r="AC18" s="541"/>
      <c r="AD18" s="543"/>
      <c r="AE18" s="543"/>
      <c r="AF18" s="543"/>
      <c r="AG18" s="541" t="s">
        <v>212</v>
      </c>
      <c r="AH18" s="541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</row>
    <row r="19" spans="2:63" x14ac:dyDescent="0.35">
      <c r="B19" s="290" t="s">
        <v>213</v>
      </c>
      <c r="G19" s="20"/>
      <c r="H19" s="544">
        <v>1</v>
      </c>
      <c r="I19" s="544">
        <v>2</v>
      </c>
      <c r="J19" s="544">
        <v>3</v>
      </c>
      <c r="K19" s="544">
        <v>4</v>
      </c>
      <c r="L19" s="544">
        <v>5</v>
      </c>
      <c r="M19" s="544">
        <v>6</v>
      </c>
      <c r="N19" s="544">
        <v>7</v>
      </c>
      <c r="O19" s="544">
        <v>8</v>
      </c>
      <c r="P19" s="544">
        <v>9</v>
      </c>
      <c r="Q19" s="544">
        <v>10</v>
      </c>
      <c r="R19" s="544">
        <v>11</v>
      </c>
      <c r="S19" s="544">
        <v>12</v>
      </c>
      <c r="T19" s="544">
        <v>13</v>
      </c>
      <c r="U19" s="544">
        <v>14</v>
      </c>
      <c r="V19" s="544">
        <v>15</v>
      </c>
      <c r="W19" s="544">
        <v>16</v>
      </c>
      <c r="X19" s="544">
        <v>17</v>
      </c>
      <c r="Y19" s="544">
        <v>18</v>
      </c>
      <c r="Z19" s="544">
        <v>19</v>
      </c>
      <c r="AA19" s="544">
        <v>20</v>
      </c>
      <c r="AB19" s="544">
        <v>21</v>
      </c>
      <c r="AC19" s="544">
        <v>22</v>
      </c>
      <c r="AD19" s="545"/>
      <c r="AE19" s="545"/>
      <c r="AF19" s="545"/>
      <c r="AG19" s="544">
        <v>1</v>
      </c>
      <c r="AH19" s="544">
        <v>2</v>
      </c>
      <c r="AI19" s="544">
        <v>3</v>
      </c>
      <c r="AJ19" s="544">
        <v>4</v>
      </c>
      <c r="AK19" s="544">
        <v>5</v>
      </c>
      <c r="AL19" s="544">
        <v>6</v>
      </c>
      <c r="AM19" s="544">
        <v>7</v>
      </c>
      <c r="AN19" s="544">
        <v>8</v>
      </c>
      <c r="AO19" s="544">
        <v>9</v>
      </c>
      <c r="AP19" s="544">
        <v>10</v>
      </c>
      <c r="AQ19" s="544">
        <v>11</v>
      </c>
      <c r="AR19" s="544">
        <v>12</v>
      </c>
      <c r="AS19" s="544">
        <v>13</v>
      </c>
      <c r="AT19" s="544">
        <v>14</v>
      </c>
      <c r="AU19" s="544">
        <v>15</v>
      </c>
      <c r="AV19" s="544">
        <v>16</v>
      </c>
      <c r="AW19" s="544">
        <v>17</v>
      </c>
      <c r="AX19" s="544">
        <v>18</v>
      </c>
      <c r="AY19" s="544">
        <v>19</v>
      </c>
      <c r="AZ19" s="544">
        <v>20</v>
      </c>
      <c r="BA19" s="544">
        <v>21</v>
      </c>
      <c r="BB19" s="544">
        <v>22</v>
      </c>
    </row>
    <row r="20" spans="2:63" x14ac:dyDescent="0.35">
      <c r="B20" s="290"/>
      <c r="F20" s="739" t="s">
        <v>214</v>
      </c>
      <c r="G20" s="51">
        <v>121</v>
      </c>
      <c r="H20" s="50"/>
      <c r="I20" s="50"/>
      <c r="J20" s="50"/>
      <c r="K20" s="50"/>
      <c r="L20" s="50"/>
      <c r="M20" s="50"/>
      <c r="N20" s="50"/>
      <c r="O20" s="50"/>
      <c r="P20" s="50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51">
        <v>121</v>
      </c>
      <c r="AE20" s="20"/>
      <c r="AF20" s="51">
        <v>121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2"/>
      <c r="BA20" s="402"/>
      <c r="BB20" s="402"/>
      <c r="BC20" s="451">
        <v>121</v>
      </c>
      <c r="BD20" s="739" t="s">
        <v>214</v>
      </c>
      <c r="BE20" s="49"/>
      <c r="BF20" s="49"/>
      <c r="BG20" s="49"/>
      <c r="BH20" s="49"/>
      <c r="BI20" s="49"/>
      <c r="BJ20" s="49"/>
      <c r="BK20" s="49"/>
    </row>
    <row r="21" spans="2:63" x14ac:dyDescent="0.35">
      <c r="F21" s="739"/>
      <c r="G21" s="51">
        <v>120</v>
      </c>
      <c r="H21" s="50"/>
      <c r="I21" s="50"/>
      <c r="J21" s="50"/>
      <c r="K21" s="50"/>
      <c r="L21" s="50"/>
      <c r="M21" s="50"/>
      <c r="N21" s="50"/>
      <c r="O21" s="50"/>
      <c r="P21" s="50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51">
        <v>120</v>
      </c>
      <c r="AF21" s="51">
        <v>120</v>
      </c>
      <c r="AG21" s="50"/>
      <c r="AH21" s="50"/>
      <c r="AI21" s="50"/>
      <c r="AJ21" s="50"/>
      <c r="AK21" s="50"/>
      <c r="AL21" s="50"/>
      <c r="AM21" s="50"/>
      <c r="AN21" s="50"/>
      <c r="AO21" s="50"/>
      <c r="AP21" s="402"/>
      <c r="AQ21" s="402"/>
      <c r="AR21" s="402"/>
      <c r="AS21" s="402"/>
      <c r="AT21" s="402"/>
      <c r="AU21" s="402"/>
      <c r="AV21" s="402"/>
      <c r="AW21" s="402"/>
      <c r="AX21" s="402"/>
      <c r="AY21" s="402"/>
      <c r="AZ21" s="402"/>
      <c r="BA21" s="402"/>
      <c r="BB21" s="402"/>
      <c r="BC21" s="451">
        <v>120</v>
      </c>
      <c r="BD21" s="739"/>
      <c r="BE21" s="49"/>
      <c r="BF21" s="49"/>
      <c r="BG21" s="49"/>
      <c r="BH21" s="49"/>
      <c r="BI21" s="49"/>
      <c r="BJ21" s="49"/>
      <c r="BK21" s="49"/>
    </row>
    <row r="22" spans="2:63" ht="15" thickBot="1" x14ac:dyDescent="0.4">
      <c r="F22" s="739"/>
      <c r="G22" s="51">
        <v>119</v>
      </c>
      <c r="H22" s="50"/>
      <c r="I22" s="50"/>
      <c r="J22" s="50"/>
      <c r="K22" s="50"/>
      <c r="L22" s="50"/>
      <c r="M22" s="50"/>
      <c r="N22" s="50"/>
      <c r="O22" s="50"/>
      <c r="P22" s="50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51">
        <v>119</v>
      </c>
      <c r="AE22" s="20"/>
      <c r="AF22" s="51">
        <v>119</v>
      </c>
      <c r="AG22" s="50"/>
      <c r="AH22" s="50"/>
      <c r="AI22" s="50"/>
      <c r="AJ22" s="50"/>
      <c r="AK22" s="50"/>
      <c r="AL22" s="50"/>
      <c r="AM22" s="50"/>
      <c r="AN22" s="50"/>
      <c r="AO22" s="50"/>
      <c r="AP22" s="402"/>
      <c r="AQ22" s="402"/>
      <c r="AR22" s="402"/>
      <c r="AS22" s="402"/>
      <c r="AT22" s="402"/>
      <c r="AU22" s="402"/>
      <c r="AV22" s="402"/>
      <c r="AW22" s="402"/>
      <c r="AX22" s="402"/>
      <c r="AY22" s="402"/>
      <c r="AZ22" s="402"/>
      <c r="BA22" s="402"/>
      <c r="BB22" s="402"/>
      <c r="BC22" s="451">
        <v>119</v>
      </c>
      <c r="BD22" s="739"/>
      <c r="BE22" s="49"/>
      <c r="BF22" s="49"/>
      <c r="BG22" s="49"/>
      <c r="BH22" s="49"/>
      <c r="BI22" s="49"/>
      <c r="BJ22" s="49"/>
      <c r="BK22" s="49"/>
    </row>
    <row r="23" spans="2:63" x14ac:dyDescent="0.35">
      <c r="B23" s="260" t="s">
        <v>117</v>
      </c>
      <c r="C23" s="261"/>
      <c r="D23" s="261"/>
      <c r="E23" s="262"/>
      <c r="F23" s="739"/>
      <c r="G23" s="51">
        <v>118</v>
      </c>
      <c r="H23" s="50"/>
      <c r="I23" s="50"/>
      <c r="J23" s="50"/>
      <c r="K23" s="50"/>
      <c r="L23" s="50"/>
      <c r="M23" s="50"/>
      <c r="N23" s="50"/>
      <c r="O23" s="50"/>
      <c r="P23" s="50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51">
        <v>118</v>
      </c>
      <c r="AE23" s="20"/>
      <c r="AF23" s="51">
        <v>118</v>
      </c>
      <c r="AG23" s="50"/>
      <c r="AH23" s="50"/>
      <c r="AI23" s="50"/>
      <c r="AJ23" s="50"/>
      <c r="AK23" s="50"/>
      <c r="AL23" s="50"/>
      <c r="AM23" s="50"/>
      <c r="AN23" s="50"/>
      <c r="AO23" s="50"/>
      <c r="AP23" s="402"/>
      <c r="AQ23" s="402"/>
      <c r="AR23" s="402"/>
      <c r="AS23" s="402"/>
      <c r="AT23" s="402"/>
      <c r="AU23" s="402"/>
      <c r="AV23" s="402"/>
      <c r="AW23" s="402"/>
      <c r="AX23" s="402"/>
      <c r="AY23" s="402"/>
      <c r="AZ23" s="402"/>
      <c r="BA23" s="402"/>
      <c r="BB23" s="402"/>
      <c r="BC23" s="451">
        <v>118</v>
      </c>
      <c r="BD23" s="739"/>
      <c r="BE23" s="49"/>
      <c r="BF23" s="49"/>
      <c r="BG23" s="49"/>
      <c r="BH23" s="49"/>
      <c r="BI23" s="49"/>
      <c r="BJ23" s="49"/>
      <c r="BK23" s="49"/>
    </row>
    <row r="24" spans="2:63" x14ac:dyDescent="0.35">
      <c r="B24" s="263" t="s">
        <v>113</v>
      </c>
      <c r="C24" s="264" t="s">
        <v>114</v>
      </c>
      <c r="D24" s="264" t="s">
        <v>101</v>
      </c>
      <c r="E24" s="265" t="s">
        <v>11</v>
      </c>
      <c r="F24" s="739"/>
      <c r="G24" s="51">
        <v>117</v>
      </c>
      <c r="H24" s="50"/>
      <c r="I24" s="50"/>
      <c r="J24" s="50"/>
      <c r="K24" s="50"/>
      <c r="L24" s="50"/>
      <c r="M24" s="50"/>
      <c r="N24" s="50"/>
      <c r="O24" s="50"/>
      <c r="P24" s="50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51">
        <v>117</v>
      </c>
      <c r="AE24" s="20"/>
      <c r="AF24" s="51">
        <v>117</v>
      </c>
      <c r="AG24" s="50"/>
      <c r="AH24" s="50"/>
      <c r="AI24" s="50"/>
      <c r="AJ24" s="50"/>
      <c r="AK24" s="50"/>
      <c r="AL24" s="50"/>
      <c r="AM24" s="50"/>
      <c r="AN24" s="50"/>
      <c r="AO24" s="50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2"/>
      <c r="BA24" s="402"/>
      <c r="BB24" s="402"/>
      <c r="BC24" s="451">
        <v>117</v>
      </c>
      <c r="BD24" s="739"/>
      <c r="BE24" s="49"/>
      <c r="BF24" s="49"/>
      <c r="BG24" s="49"/>
      <c r="BH24" s="49"/>
      <c r="BI24" s="49"/>
      <c r="BJ24" s="49"/>
      <c r="BK24" s="49"/>
    </row>
    <row r="25" spans="2:63" ht="15" thickBot="1" x14ac:dyDescent="0.4">
      <c r="B25" s="266">
        <v>5.04E-2</v>
      </c>
      <c r="C25" s="267">
        <v>5.8700000000000002E-2</v>
      </c>
      <c r="D25" s="268">
        <f>C25-B25</f>
        <v>8.3000000000000018E-3</v>
      </c>
      <c r="E25" s="269">
        <f>1/D25</f>
        <v>120.48192771084335</v>
      </c>
      <c r="F25" s="739"/>
      <c r="G25" s="51">
        <v>116</v>
      </c>
      <c r="H25" s="50"/>
      <c r="I25" s="50"/>
      <c r="J25" s="50"/>
      <c r="K25" s="50"/>
      <c r="L25" s="50"/>
      <c r="M25" s="50"/>
      <c r="N25" s="50"/>
      <c r="O25" s="50"/>
      <c r="P25" s="50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51">
        <v>116</v>
      </c>
      <c r="AE25" s="20"/>
      <c r="AF25" s="51">
        <v>116</v>
      </c>
      <c r="AG25" s="50"/>
      <c r="AH25" s="50"/>
      <c r="AI25" s="50"/>
      <c r="AJ25" s="50"/>
      <c r="AK25" s="50"/>
      <c r="AL25" s="50"/>
      <c r="AM25" s="50"/>
      <c r="AN25" s="50"/>
      <c r="AO25" s="50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2"/>
      <c r="BA25" s="402"/>
      <c r="BB25" s="402"/>
      <c r="BC25" s="451">
        <v>116</v>
      </c>
      <c r="BD25" s="739"/>
      <c r="BE25" s="49"/>
      <c r="BF25" s="49"/>
      <c r="BG25" s="49"/>
      <c r="BH25" s="49"/>
      <c r="BI25" s="49"/>
      <c r="BJ25" s="49"/>
      <c r="BK25" s="49"/>
    </row>
    <row r="26" spans="2:63" ht="16" thickBot="1" x14ac:dyDescent="0.4">
      <c r="B26" s="452" t="s">
        <v>168</v>
      </c>
      <c r="C26" s="404">
        <f>B25*E25</f>
        <v>6.0722891566265051</v>
      </c>
      <c r="D26" s="270">
        <f>D25*E25</f>
        <v>1</v>
      </c>
      <c r="E26" s="403">
        <f>(1-C25)*E25</f>
        <v>113.40963855421685</v>
      </c>
      <c r="F26" s="739"/>
      <c r="G26" s="546">
        <v>115</v>
      </c>
      <c r="H26" s="547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9">
        <v>115</v>
      </c>
      <c r="AE26" s="20"/>
      <c r="AF26" s="546">
        <v>115</v>
      </c>
      <c r="AG26" s="547"/>
      <c r="AH26" s="548"/>
      <c r="AI26" s="548"/>
      <c r="AJ26" s="548"/>
      <c r="AK26" s="548"/>
      <c r="AL26" s="548"/>
      <c r="AM26" s="548"/>
      <c r="AN26" s="548"/>
      <c r="AO26" s="548"/>
      <c r="AP26" s="548"/>
      <c r="AQ26" s="548"/>
      <c r="AR26" s="548"/>
      <c r="AS26" s="550"/>
      <c r="AT26" s="550"/>
      <c r="AU26" s="551"/>
      <c r="AV26" s="551"/>
      <c r="AW26" s="551"/>
      <c r="AX26" s="551"/>
      <c r="AY26" s="551"/>
      <c r="AZ26" s="551"/>
      <c r="BA26" s="551"/>
      <c r="BB26" s="551"/>
      <c r="BC26" s="552">
        <v>115</v>
      </c>
      <c r="BD26" s="739"/>
      <c r="BE26" s="49"/>
      <c r="BF26" s="49"/>
      <c r="BG26" s="49"/>
      <c r="BH26" s="49"/>
      <c r="BI26" s="49"/>
      <c r="BJ26" s="49"/>
      <c r="BK26" s="49"/>
    </row>
    <row r="27" spans="2:63" x14ac:dyDescent="0.35">
      <c r="G27" s="51">
        <v>114</v>
      </c>
      <c r="H27" s="553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1">
        <v>114</v>
      </c>
      <c r="AE27" s="52"/>
      <c r="AF27" s="51">
        <v>114</v>
      </c>
      <c r="AG27" s="553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1">
        <v>114</v>
      </c>
      <c r="BD27" s="49"/>
      <c r="BE27" s="49"/>
      <c r="BF27" s="49"/>
      <c r="BG27" s="49"/>
      <c r="BH27" s="49"/>
      <c r="BI27" s="49"/>
      <c r="BJ27" s="49"/>
      <c r="BK27" s="49"/>
    </row>
    <row r="28" spans="2:63" x14ac:dyDescent="0.35">
      <c r="G28" s="51">
        <v>113</v>
      </c>
      <c r="H28" s="55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1">
        <v>113</v>
      </c>
      <c r="AE28" s="52"/>
      <c r="AF28" s="51">
        <v>113</v>
      </c>
      <c r="AG28" s="553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1">
        <v>113</v>
      </c>
      <c r="BD28" s="49"/>
      <c r="BE28" s="49"/>
      <c r="BF28" s="49"/>
      <c r="BG28" s="49"/>
      <c r="BH28" s="49"/>
      <c r="BI28" s="49"/>
      <c r="BJ28" s="49"/>
      <c r="BK28" s="49"/>
    </row>
    <row r="29" spans="2:63" x14ac:dyDescent="0.35">
      <c r="G29" s="51">
        <v>112</v>
      </c>
      <c r="H29" s="553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1">
        <v>112</v>
      </c>
      <c r="AF29" s="51">
        <v>112</v>
      </c>
      <c r="AG29" s="553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1">
        <v>112</v>
      </c>
    </row>
    <row r="30" spans="2:63" x14ac:dyDescent="0.35">
      <c r="G30" s="51">
        <v>111</v>
      </c>
      <c r="H30" s="553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1">
        <v>111</v>
      </c>
      <c r="AF30" s="51">
        <v>111</v>
      </c>
      <c r="AG30" s="553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1">
        <v>111</v>
      </c>
    </row>
    <row r="31" spans="2:63" x14ac:dyDescent="0.35">
      <c r="G31" s="51">
        <v>110</v>
      </c>
      <c r="H31" s="55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1">
        <v>110</v>
      </c>
      <c r="AF31" s="51">
        <v>110</v>
      </c>
      <c r="AG31" s="553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1">
        <v>110</v>
      </c>
    </row>
    <row r="32" spans="2:63" x14ac:dyDescent="0.35">
      <c r="G32" s="51">
        <v>109</v>
      </c>
      <c r="H32" s="55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1">
        <v>109</v>
      </c>
      <c r="AF32" s="51">
        <v>109</v>
      </c>
      <c r="AG32" s="553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1">
        <v>109</v>
      </c>
    </row>
    <row r="33" spans="7:55" x14ac:dyDescent="0.35">
      <c r="G33" s="51">
        <v>108</v>
      </c>
      <c r="H33" s="55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1">
        <v>108</v>
      </c>
      <c r="AF33" s="51">
        <v>108</v>
      </c>
      <c r="AG33" s="553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1">
        <v>108</v>
      </c>
    </row>
    <row r="34" spans="7:55" x14ac:dyDescent="0.35">
      <c r="G34" s="51">
        <v>107</v>
      </c>
      <c r="H34" s="55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1">
        <v>107</v>
      </c>
      <c r="AF34" s="51">
        <v>107</v>
      </c>
      <c r="AG34" s="553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1">
        <v>107</v>
      </c>
    </row>
    <row r="35" spans="7:55" x14ac:dyDescent="0.35">
      <c r="G35" s="51">
        <v>106</v>
      </c>
      <c r="H35" s="55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1">
        <v>106</v>
      </c>
      <c r="AF35" s="51">
        <v>106</v>
      </c>
      <c r="AG35" s="553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1">
        <v>106</v>
      </c>
    </row>
    <row r="36" spans="7:55" x14ac:dyDescent="0.35">
      <c r="G36" s="51">
        <v>105</v>
      </c>
      <c r="H36" s="553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1">
        <v>105</v>
      </c>
      <c r="AF36" s="51">
        <v>105</v>
      </c>
      <c r="AG36" s="553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1">
        <v>105</v>
      </c>
    </row>
    <row r="37" spans="7:55" x14ac:dyDescent="0.35">
      <c r="G37" s="51">
        <v>104</v>
      </c>
      <c r="H37" s="55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1">
        <v>104</v>
      </c>
      <c r="AF37" s="51">
        <v>104</v>
      </c>
      <c r="AG37" s="553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1">
        <v>104</v>
      </c>
    </row>
    <row r="38" spans="7:55" x14ac:dyDescent="0.35">
      <c r="G38" s="51">
        <v>103</v>
      </c>
      <c r="H38" s="55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1">
        <v>103</v>
      </c>
      <c r="AF38" s="51">
        <v>103</v>
      </c>
      <c r="AG38" s="553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1">
        <v>103</v>
      </c>
    </row>
    <row r="39" spans="7:55" x14ac:dyDescent="0.35">
      <c r="G39" s="51">
        <v>102</v>
      </c>
      <c r="H39" s="55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1">
        <v>102</v>
      </c>
      <c r="AF39" s="51">
        <v>102</v>
      </c>
      <c r="AG39" s="553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1">
        <v>102</v>
      </c>
    </row>
    <row r="40" spans="7:55" x14ac:dyDescent="0.35">
      <c r="G40" s="51">
        <v>101</v>
      </c>
      <c r="H40" s="55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1">
        <v>101</v>
      </c>
      <c r="AF40" s="51">
        <v>101</v>
      </c>
      <c r="AG40" s="553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1">
        <v>101</v>
      </c>
    </row>
    <row r="41" spans="7:55" x14ac:dyDescent="0.35">
      <c r="G41" s="51">
        <v>100</v>
      </c>
      <c r="H41" s="55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1">
        <v>100</v>
      </c>
      <c r="AF41" s="51">
        <v>100</v>
      </c>
      <c r="AG41" s="553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1">
        <v>100</v>
      </c>
    </row>
    <row r="42" spans="7:55" x14ac:dyDescent="0.35">
      <c r="G42" s="51">
        <v>99</v>
      </c>
      <c r="H42" s="55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1">
        <v>99</v>
      </c>
      <c r="AF42" s="51">
        <v>99</v>
      </c>
      <c r="AG42" s="553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1">
        <v>99</v>
      </c>
    </row>
    <row r="43" spans="7:55" x14ac:dyDescent="0.35">
      <c r="G43" s="51">
        <v>98</v>
      </c>
      <c r="H43" s="55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1">
        <v>98</v>
      </c>
      <c r="AF43" s="51">
        <v>98</v>
      </c>
      <c r="AG43" s="553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1">
        <v>98</v>
      </c>
    </row>
    <row r="44" spans="7:55" x14ac:dyDescent="0.35">
      <c r="G44" s="51">
        <v>97</v>
      </c>
      <c r="H44" s="55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1">
        <v>97</v>
      </c>
      <c r="AF44" s="51">
        <v>97</v>
      </c>
      <c r="AG44" s="553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1">
        <v>97</v>
      </c>
    </row>
    <row r="45" spans="7:55" x14ac:dyDescent="0.35">
      <c r="G45" s="51">
        <v>96</v>
      </c>
      <c r="H45" s="55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1">
        <v>96</v>
      </c>
      <c r="AF45" s="51">
        <v>96</v>
      </c>
      <c r="AG45" s="553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1">
        <v>96</v>
      </c>
    </row>
    <row r="46" spans="7:55" x14ac:dyDescent="0.35">
      <c r="G46" s="51">
        <v>95</v>
      </c>
      <c r="H46" s="553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1">
        <v>95</v>
      </c>
      <c r="AF46" s="51">
        <v>95</v>
      </c>
      <c r="AG46" s="553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1">
        <v>95</v>
      </c>
    </row>
    <row r="47" spans="7:55" x14ac:dyDescent="0.35">
      <c r="G47" s="51">
        <v>94</v>
      </c>
      <c r="H47" s="553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1">
        <v>94</v>
      </c>
      <c r="AF47" s="51">
        <v>94</v>
      </c>
      <c r="AG47" s="553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1">
        <v>94</v>
      </c>
    </row>
    <row r="48" spans="7:55" x14ac:dyDescent="0.35">
      <c r="G48" s="51">
        <v>93</v>
      </c>
      <c r="H48" s="553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1">
        <v>93</v>
      </c>
      <c r="AF48" s="51">
        <v>93</v>
      </c>
      <c r="AG48" s="553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1">
        <v>93</v>
      </c>
    </row>
    <row r="49" spans="7:55" x14ac:dyDescent="0.35">
      <c r="G49" s="51">
        <v>92</v>
      </c>
      <c r="H49" s="553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1">
        <v>92</v>
      </c>
      <c r="AF49" s="51">
        <v>92</v>
      </c>
      <c r="AG49" s="553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1">
        <v>92</v>
      </c>
    </row>
    <row r="50" spans="7:55" x14ac:dyDescent="0.35">
      <c r="G50" s="51">
        <v>91</v>
      </c>
      <c r="H50" s="553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1">
        <v>91</v>
      </c>
      <c r="AF50" s="51">
        <v>91</v>
      </c>
      <c r="AG50" s="553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1">
        <v>91</v>
      </c>
    </row>
    <row r="51" spans="7:55" x14ac:dyDescent="0.35">
      <c r="G51" s="51">
        <v>90</v>
      </c>
      <c r="H51" s="55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1">
        <v>90</v>
      </c>
      <c r="AF51" s="51">
        <v>90</v>
      </c>
      <c r="AG51" s="553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1">
        <v>90</v>
      </c>
    </row>
    <row r="52" spans="7:55" x14ac:dyDescent="0.35">
      <c r="G52" s="51">
        <v>89</v>
      </c>
      <c r="H52" s="55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1">
        <v>89</v>
      </c>
      <c r="AF52" s="51">
        <v>89</v>
      </c>
      <c r="AG52" s="553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1">
        <v>89</v>
      </c>
    </row>
    <row r="53" spans="7:55" x14ac:dyDescent="0.35">
      <c r="G53" s="51">
        <v>88</v>
      </c>
      <c r="H53" s="553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1">
        <v>88</v>
      </c>
      <c r="AF53" s="51">
        <v>88</v>
      </c>
      <c r="AG53" s="553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1">
        <v>88</v>
      </c>
    </row>
    <row r="54" spans="7:55" x14ac:dyDescent="0.35">
      <c r="G54" s="51">
        <v>87</v>
      </c>
      <c r="H54" s="553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1">
        <v>87</v>
      </c>
      <c r="AF54" s="51">
        <v>87</v>
      </c>
      <c r="AG54" s="553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1">
        <v>87</v>
      </c>
    </row>
    <row r="55" spans="7:55" x14ac:dyDescent="0.35">
      <c r="G55" s="51">
        <v>86</v>
      </c>
      <c r="H55" s="553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1">
        <v>86</v>
      </c>
      <c r="AF55" s="51">
        <v>86</v>
      </c>
      <c r="AG55" s="553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1">
        <v>86</v>
      </c>
    </row>
    <row r="56" spans="7:55" x14ac:dyDescent="0.35">
      <c r="G56" s="51">
        <v>85</v>
      </c>
      <c r="H56" s="553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1">
        <v>85</v>
      </c>
      <c r="AF56" s="51">
        <v>85</v>
      </c>
      <c r="AG56" s="553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1">
        <v>85</v>
      </c>
    </row>
    <row r="57" spans="7:55" x14ac:dyDescent="0.35">
      <c r="G57" s="51">
        <v>84</v>
      </c>
      <c r="H57" s="553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1">
        <v>84</v>
      </c>
      <c r="AF57" s="51">
        <v>84</v>
      </c>
      <c r="AG57" s="553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1">
        <v>84</v>
      </c>
    </row>
    <row r="58" spans="7:55" x14ac:dyDescent="0.35">
      <c r="G58" s="51">
        <v>83</v>
      </c>
      <c r="H58" s="553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>
        <v>83</v>
      </c>
      <c r="AF58" s="51">
        <v>83</v>
      </c>
      <c r="AG58" s="553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1">
        <v>83</v>
      </c>
    </row>
    <row r="59" spans="7:55" x14ac:dyDescent="0.35">
      <c r="G59" s="51">
        <v>82</v>
      </c>
      <c r="H59" s="553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1">
        <v>82</v>
      </c>
      <c r="AF59" s="51">
        <v>82</v>
      </c>
      <c r="AG59" s="553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1">
        <v>82</v>
      </c>
    </row>
    <row r="60" spans="7:55" x14ac:dyDescent="0.35">
      <c r="G60" s="51">
        <v>81</v>
      </c>
      <c r="H60" s="553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1">
        <v>81</v>
      </c>
      <c r="AF60" s="51">
        <v>81</v>
      </c>
      <c r="AG60" s="553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1">
        <v>81</v>
      </c>
    </row>
    <row r="61" spans="7:55" x14ac:dyDescent="0.35">
      <c r="G61" s="51">
        <v>80</v>
      </c>
      <c r="H61" s="553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1">
        <v>80</v>
      </c>
      <c r="AF61" s="51">
        <v>80</v>
      </c>
      <c r="AG61" s="553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1">
        <v>80</v>
      </c>
    </row>
    <row r="62" spans="7:55" x14ac:dyDescent="0.35">
      <c r="G62" s="51">
        <v>79</v>
      </c>
      <c r="H62" s="553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1">
        <v>79</v>
      </c>
      <c r="AF62" s="51">
        <v>79</v>
      </c>
      <c r="AG62" s="553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1">
        <v>79</v>
      </c>
    </row>
    <row r="63" spans="7:55" x14ac:dyDescent="0.35">
      <c r="G63" s="51">
        <v>78</v>
      </c>
      <c r="H63" s="553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1">
        <v>78</v>
      </c>
      <c r="AF63" s="51">
        <v>78</v>
      </c>
      <c r="AG63" s="553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1">
        <v>78</v>
      </c>
    </row>
    <row r="64" spans="7:55" x14ac:dyDescent="0.35">
      <c r="G64" s="51">
        <v>77</v>
      </c>
      <c r="H64" s="553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1">
        <v>77</v>
      </c>
      <c r="AF64" s="51">
        <v>77</v>
      </c>
      <c r="AG64" s="553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1">
        <v>77</v>
      </c>
    </row>
    <row r="65" spans="7:55" x14ac:dyDescent="0.35">
      <c r="G65" s="51">
        <v>76</v>
      </c>
      <c r="H65" s="553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1">
        <v>76</v>
      </c>
      <c r="AF65" s="51">
        <v>76</v>
      </c>
      <c r="AG65" s="553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1">
        <v>76</v>
      </c>
    </row>
    <row r="66" spans="7:55" x14ac:dyDescent="0.35">
      <c r="G66" s="51">
        <v>75</v>
      </c>
      <c r="H66" s="553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1">
        <v>75</v>
      </c>
      <c r="AF66" s="51">
        <v>75</v>
      </c>
      <c r="AG66" s="553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1">
        <v>75</v>
      </c>
    </row>
    <row r="67" spans="7:55" x14ac:dyDescent="0.35">
      <c r="G67" s="51">
        <v>74</v>
      </c>
      <c r="H67" s="553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1">
        <v>74</v>
      </c>
      <c r="AF67" s="51">
        <v>74</v>
      </c>
      <c r="AG67" s="553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1">
        <v>74</v>
      </c>
    </row>
    <row r="68" spans="7:55" x14ac:dyDescent="0.35">
      <c r="G68" s="51">
        <v>73</v>
      </c>
      <c r="H68" s="553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1">
        <v>73</v>
      </c>
      <c r="AF68" s="51">
        <v>73</v>
      </c>
      <c r="AG68" s="553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1">
        <v>73</v>
      </c>
    </row>
    <row r="69" spans="7:55" x14ac:dyDescent="0.35">
      <c r="G69" s="51">
        <v>72</v>
      </c>
      <c r="H69" s="553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1">
        <v>72</v>
      </c>
      <c r="AF69" s="51">
        <v>72</v>
      </c>
      <c r="AG69" s="553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1">
        <v>72</v>
      </c>
    </row>
    <row r="70" spans="7:55" x14ac:dyDescent="0.35">
      <c r="G70" s="51">
        <v>71</v>
      </c>
      <c r="H70" s="553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1">
        <v>71</v>
      </c>
      <c r="AF70" s="51">
        <v>71</v>
      </c>
      <c r="AG70" s="553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1">
        <v>71</v>
      </c>
    </row>
    <row r="71" spans="7:55" x14ac:dyDescent="0.35">
      <c r="G71" s="51">
        <v>70</v>
      </c>
      <c r="H71" s="553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1">
        <v>70</v>
      </c>
      <c r="AF71" s="51">
        <v>70</v>
      </c>
      <c r="AG71" s="553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1">
        <v>70</v>
      </c>
    </row>
    <row r="72" spans="7:55" x14ac:dyDescent="0.35">
      <c r="G72" s="51">
        <v>69</v>
      </c>
      <c r="H72" s="553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1">
        <v>69</v>
      </c>
      <c r="AF72" s="51">
        <v>69</v>
      </c>
      <c r="AG72" s="553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1">
        <v>69</v>
      </c>
    </row>
    <row r="73" spans="7:55" x14ac:dyDescent="0.35">
      <c r="G73" s="51">
        <v>68</v>
      </c>
      <c r="H73" s="553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1">
        <v>68</v>
      </c>
      <c r="AF73" s="51">
        <v>68</v>
      </c>
      <c r="AG73" s="553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1">
        <v>68</v>
      </c>
    </row>
    <row r="74" spans="7:55" x14ac:dyDescent="0.35">
      <c r="G74" s="51">
        <v>67</v>
      </c>
      <c r="H74" s="553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1">
        <v>67</v>
      </c>
      <c r="AF74" s="51">
        <v>67</v>
      </c>
      <c r="AG74" s="553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1">
        <v>67</v>
      </c>
    </row>
    <row r="75" spans="7:55" x14ac:dyDescent="0.35">
      <c r="G75" s="51">
        <v>66</v>
      </c>
      <c r="H75" s="553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1">
        <v>66</v>
      </c>
      <c r="AF75" s="51">
        <v>66</v>
      </c>
      <c r="AG75" s="553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1">
        <v>66</v>
      </c>
    </row>
    <row r="76" spans="7:55" x14ac:dyDescent="0.35">
      <c r="G76" s="51">
        <v>65</v>
      </c>
      <c r="H76" s="553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1">
        <v>65</v>
      </c>
      <c r="AF76" s="51">
        <v>65</v>
      </c>
      <c r="AG76" s="553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1">
        <v>65</v>
      </c>
    </row>
    <row r="77" spans="7:55" x14ac:dyDescent="0.35">
      <c r="G77" s="51">
        <v>64</v>
      </c>
      <c r="H77" s="55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1">
        <v>64</v>
      </c>
      <c r="AF77" s="51">
        <v>64</v>
      </c>
      <c r="AG77" s="553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1">
        <v>64</v>
      </c>
    </row>
    <row r="78" spans="7:55" x14ac:dyDescent="0.35">
      <c r="G78" s="51">
        <v>63</v>
      </c>
      <c r="H78" s="55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1">
        <v>63</v>
      </c>
      <c r="AF78" s="51">
        <v>63</v>
      </c>
      <c r="AG78" s="553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1">
        <v>63</v>
      </c>
    </row>
    <row r="79" spans="7:55" x14ac:dyDescent="0.35">
      <c r="G79" s="51">
        <v>62</v>
      </c>
      <c r="H79" s="55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1">
        <v>62</v>
      </c>
      <c r="AF79" s="51">
        <v>62</v>
      </c>
      <c r="AG79" s="553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1">
        <v>62</v>
      </c>
    </row>
    <row r="80" spans="7:55" x14ac:dyDescent="0.35">
      <c r="G80" s="51">
        <v>61</v>
      </c>
      <c r="H80" s="55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1">
        <v>61</v>
      </c>
      <c r="AF80" s="51">
        <v>61</v>
      </c>
      <c r="AG80" s="553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1">
        <v>61</v>
      </c>
    </row>
    <row r="81" spans="7:55" x14ac:dyDescent="0.35">
      <c r="G81" s="51">
        <v>60</v>
      </c>
      <c r="H81" s="55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1">
        <v>60</v>
      </c>
      <c r="AF81" s="51">
        <v>60</v>
      </c>
      <c r="AG81" s="553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1">
        <v>60</v>
      </c>
    </row>
    <row r="82" spans="7:55" x14ac:dyDescent="0.35">
      <c r="G82" s="51">
        <v>59</v>
      </c>
      <c r="H82" s="55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1">
        <v>59</v>
      </c>
      <c r="AF82" s="51">
        <v>59</v>
      </c>
      <c r="AG82" s="553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1">
        <v>59</v>
      </c>
    </row>
    <row r="83" spans="7:55" x14ac:dyDescent="0.35">
      <c r="G83" s="51">
        <v>58</v>
      </c>
      <c r="H83" s="55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1">
        <v>58</v>
      </c>
      <c r="AF83" s="51">
        <v>58</v>
      </c>
      <c r="AG83" s="553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1">
        <v>58</v>
      </c>
    </row>
    <row r="84" spans="7:55" x14ac:dyDescent="0.35">
      <c r="G84" s="51">
        <v>57</v>
      </c>
      <c r="H84" s="55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1">
        <v>57</v>
      </c>
      <c r="AF84" s="51">
        <v>57</v>
      </c>
      <c r="AG84" s="553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1">
        <v>57</v>
      </c>
    </row>
    <row r="85" spans="7:55" x14ac:dyDescent="0.35">
      <c r="G85" s="51">
        <v>56</v>
      </c>
      <c r="H85" s="55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1">
        <v>56</v>
      </c>
      <c r="AF85" s="51">
        <v>56</v>
      </c>
      <c r="AG85" s="553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1">
        <v>56</v>
      </c>
    </row>
    <row r="86" spans="7:55" x14ac:dyDescent="0.35">
      <c r="G86" s="51">
        <v>55</v>
      </c>
      <c r="H86" s="55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1">
        <v>55</v>
      </c>
      <c r="AF86" s="51">
        <v>55</v>
      </c>
      <c r="AG86" s="553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1">
        <v>55</v>
      </c>
    </row>
    <row r="87" spans="7:55" x14ac:dyDescent="0.35">
      <c r="G87" s="51">
        <v>54</v>
      </c>
      <c r="H87" s="55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1">
        <v>54</v>
      </c>
      <c r="AF87" s="51">
        <v>54</v>
      </c>
      <c r="AG87" s="553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1">
        <v>54</v>
      </c>
    </row>
    <row r="88" spans="7:55" x14ac:dyDescent="0.35">
      <c r="G88" s="51">
        <v>53</v>
      </c>
      <c r="H88" s="55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1">
        <v>53</v>
      </c>
      <c r="AF88" s="51">
        <v>53</v>
      </c>
      <c r="AG88" s="553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1">
        <v>53</v>
      </c>
    </row>
    <row r="89" spans="7:55" x14ac:dyDescent="0.35">
      <c r="G89" s="51">
        <v>52</v>
      </c>
      <c r="H89" s="55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1">
        <v>52</v>
      </c>
      <c r="AF89" s="51">
        <v>52</v>
      </c>
      <c r="AG89" s="553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1">
        <v>52</v>
      </c>
    </row>
    <row r="90" spans="7:55" x14ac:dyDescent="0.35">
      <c r="G90" s="51">
        <v>51</v>
      </c>
      <c r="H90" s="55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1">
        <v>51</v>
      </c>
      <c r="AF90" s="51">
        <v>51</v>
      </c>
      <c r="AG90" s="553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1">
        <v>51</v>
      </c>
    </row>
    <row r="91" spans="7:55" x14ac:dyDescent="0.35">
      <c r="G91" s="51">
        <v>50</v>
      </c>
      <c r="H91" s="55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1">
        <v>50</v>
      </c>
      <c r="AF91" s="51">
        <v>50</v>
      </c>
      <c r="AG91" s="553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1">
        <v>50</v>
      </c>
    </row>
    <row r="92" spans="7:55" x14ac:dyDescent="0.35">
      <c r="G92" s="51">
        <v>49</v>
      </c>
      <c r="H92" s="55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1">
        <v>49</v>
      </c>
      <c r="AF92" s="51">
        <v>49</v>
      </c>
      <c r="AG92" s="553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1">
        <v>49</v>
      </c>
    </row>
    <row r="93" spans="7:55" x14ac:dyDescent="0.35">
      <c r="G93" s="51">
        <v>48</v>
      </c>
      <c r="H93" s="55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1">
        <v>48</v>
      </c>
      <c r="AF93" s="51">
        <v>48</v>
      </c>
      <c r="AG93" s="553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1">
        <v>48</v>
      </c>
    </row>
    <row r="94" spans="7:55" x14ac:dyDescent="0.35">
      <c r="G94" s="51">
        <v>47</v>
      </c>
      <c r="H94" s="55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1">
        <v>47</v>
      </c>
      <c r="AF94" s="51">
        <v>47</v>
      </c>
      <c r="AG94" s="553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1">
        <v>47</v>
      </c>
    </row>
    <row r="95" spans="7:55" x14ac:dyDescent="0.35">
      <c r="G95" s="51">
        <v>46</v>
      </c>
      <c r="H95" s="55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1">
        <v>46</v>
      </c>
      <c r="AF95" s="51">
        <v>46</v>
      </c>
      <c r="AG95" s="553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1">
        <v>46</v>
      </c>
    </row>
    <row r="96" spans="7:55" x14ac:dyDescent="0.35">
      <c r="G96" s="51">
        <v>45</v>
      </c>
      <c r="H96" s="55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1">
        <v>45</v>
      </c>
      <c r="AF96" s="51">
        <v>45</v>
      </c>
      <c r="AG96" s="553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1">
        <v>45</v>
      </c>
    </row>
    <row r="97" spans="7:55" x14ac:dyDescent="0.35">
      <c r="G97" s="51">
        <v>44</v>
      </c>
      <c r="H97" s="55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1">
        <v>44</v>
      </c>
      <c r="AF97" s="51">
        <v>44</v>
      </c>
      <c r="AG97" s="553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1">
        <v>44</v>
      </c>
    </row>
    <row r="98" spans="7:55" x14ac:dyDescent="0.35">
      <c r="G98" s="51">
        <v>43</v>
      </c>
      <c r="H98" s="55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1">
        <v>43</v>
      </c>
      <c r="AF98" s="51">
        <v>43</v>
      </c>
      <c r="AG98" s="553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1">
        <v>43</v>
      </c>
    </row>
    <row r="99" spans="7:55" x14ac:dyDescent="0.35">
      <c r="G99" s="51">
        <v>42</v>
      </c>
      <c r="H99" s="55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1">
        <v>42</v>
      </c>
      <c r="AF99" s="51">
        <v>42</v>
      </c>
      <c r="AG99" s="553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1">
        <v>42</v>
      </c>
    </row>
    <row r="100" spans="7:55" x14ac:dyDescent="0.35">
      <c r="G100" s="51">
        <v>41</v>
      </c>
      <c r="H100" s="55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1">
        <v>41</v>
      </c>
      <c r="AF100" s="51">
        <v>41</v>
      </c>
      <c r="AG100" s="553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1">
        <v>41</v>
      </c>
    </row>
    <row r="101" spans="7:55" x14ac:dyDescent="0.35">
      <c r="G101" s="51">
        <v>40</v>
      </c>
      <c r="H101" s="55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1">
        <v>40</v>
      </c>
      <c r="AF101" s="51">
        <v>40</v>
      </c>
      <c r="AG101" s="553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1">
        <v>40</v>
      </c>
    </row>
    <row r="102" spans="7:55" x14ac:dyDescent="0.35">
      <c r="G102" s="51">
        <v>39</v>
      </c>
      <c r="H102" s="55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1">
        <v>39</v>
      </c>
      <c r="AF102" s="51">
        <v>39</v>
      </c>
      <c r="AG102" s="553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1">
        <v>39</v>
      </c>
    </row>
    <row r="103" spans="7:55" x14ac:dyDescent="0.35">
      <c r="G103" s="51">
        <v>38</v>
      </c>
      <c r="H103" s="55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1">
        <v>38</v>
      </c>
      <c r="AF103" s="51">
        <v>38</v>
      </c>
      <c r="AG103" s="553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1">
        <v>38</v>
      </c>
    </row>
    <row r="104" spans="7:55" x14ac:dyDescent="0.35">
      <c r="G104" s="51">
        <v>37</v>
      </c>
      <c r="H104" s="55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1">
        <v>37</v>
      </c>
      <c r="AF104" s="51">
        <v>37</v>
      </c>
      <c r="AG104" s="553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1">
        <v>37</v>
      </c>
    </row>
    <row r="105" spans="7:55" x14ac:dyDescent="0.35">
      <c r="G105" s="51">
        <v>36</v>
      </c>
      <c r="H105" s="55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1">
        <v>36</v>
      </c>
      <c r="AF105" s="51">
        <v>36</v>
      </c>
      <c r="AG105" s="553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1">
        <v>36</v>
      </c>
    </row>
    <row r="106" spans="7:55" x14ac:dyDescent="0.35">
      <c r="G106" s="51">
        <v>35</v>
      </c>
      <c r="H106" s="55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1">
        <v>35</v>
      </c>
      <c r="AF106" s="51">
        <v>35</v>
      </c>
      <c r="AG106" s="553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1">
        <v>35</v>
      </c>
    </row>
    <row r="107" spans="7:55" x14ac:dyDescent="0.35">
      <c r="G107" s="51">
        <v>34</v>
      </c>
      <c r="H107" s="55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1">
        <v>34</v>
      </c>
      <c r="AF107" s="51">
        <v>34</v>
      </c>
      <c r="AG107" s="553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1">
        <v>34</v>
      </c>
    </row>
    <row r="108" spans="7:55" x14ac:dyDescent="0.35">
      <c r="G108" s="51">
        <v>33</v>
      </c>
      <c r="H108" s="55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1">
        <v>33</v>
      </c>
      <c r="AF108" s="51">
        <v>33</v>
      </c>
      <c r="AG108" s="553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1">
        <v>33</v>
      </c>
    </row>
    <row r="109" spans="7:55" x14ac:dyDescent="0.35">
      <c r="G109" s="51">
        <v>32</v>
      </c>
      <c r="H109" s="55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1">
        <v>32</v>
      </c>
      <c r="AF109" s="51">
        <v>32</v>
      </c>
      <c r="AG109" s="553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1">
        <v>32</v>
      </c>
    </row>
    <row r="110" spans="7:55" x14ac:dyDescent="0.35">
      <c r="G110" s="51">
        <v>31</v>
      </c>
      <c r="H110" s="55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1">
        <v>31</v>
      </c>
      <c r="AF110" s="51">
        <v>31</v>
      </c>
      <c r="AG110" s="553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1">
        <v>31</v>
      </c>
    </row>
    <row r="111" spans="7:55" x14ac:dyDescent="0.35">
      <c r="G111" s="51">
        <v>30</v>
      </c>
      <c r="H111" s="55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1">
        <v>30</v>
      </c>
      <c r="AF111" s="51">
        <v>30</v>
      </c>
      <c r="AG111" s="553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1">
        <v>30</v>
      </c>
    </row>
    <row r="112" spans="7:55" x14ac:dyDescent="0.35">
      <c r="G112" s="51">
        <v>29</v>
      </c>
      <c r="H112" s="55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1">
        <v>29</v>
      </c>
      <c r="AF112" s="51">
        <v>29</v>
      </c>
      <c r="AG112" s="553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1">
        <v>29</v>
      </c>
    </row>
    <row r="113" spans="7:55" x14ac:dyDescent="0.35">
      <c r="G113" s="51">
        <v>28</v>
      </c>
      <c r="H113" s="55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1">
        <v>28</v>
      </c>
      <c r="AF113" s="51">
        <v>28</v>
      </c>
      <c r="AG113" s="553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1">
        <v>28</v>
      </c>
    </row>
    <row r="114" spans="7:55" x14ac:dyDescent="0.35">
      <c r="G114" s="51">
        <v>27</v>
      </c>
      <c r="H114" s="55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1">
        <v>27</v>
      </c>
      <c r="AF114" s="51">
        <v>27</v>
      </c>
      <c r="AG114" s="553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1">
        <v>27</v>
      </c>
    </row>
    <row r="115" spans="7:55" x14ac:dyDescent="0.35">
      <c r="G115" s="51">
        <v>26</v>
      </c>
      <c r="H115" s="55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1">
        <v>26</v>
      </c>
      <c r="AF115" s="51">
        <v>26</v>
      </c>
      <c r="AG115" s="553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1">
        <v>26</v>
      </c>
    </row>
    <row r="116" spans="7:55" x14ac:dyDescent="0.35">
      <c r="G116" s="51">
        <v>25</v>
      </c>
      <c r="H116" s="55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1">
        <v>25</v>
      </c>
      <c r="AF116" s="51">
        <v>25</v>
      </c>
      <c r="AG116" s="553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1">
        <v>25</v>
      </c>
    </row>
    <row r="117" spans="7:55" x14ac:dyDescent="0.35">
      <c r="G117" s="51">
        <v>24</v>
      </c>
      <c r="H117" s="55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1">
        <v>24</v>
      </c>
      <c r="AF117" s="51">
        <v>24</v>
      </c>
      <c r="AG117" s="553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1">
        <v>24</v>
      </c>
    </row>
    <row r="118" spans="7:55" x14ac:dyDescent="0.35">
      <c r="G118" s="51">
        <v>23</v>
      </c>
      <c r="H118" s="55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1">
        <v>23</v>
      </c>
      <c r="AF118" s="51">
        <v>23</v>
      </c>
      <c r="AG118" s="553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1">
        <v>23</v>
      </c>
    </row>
    <row r="119" spans="7:55" x14ac:dyDescent="0.35">
      <c r="G119" s="51">
        <v>22</v>
      </c>
      <c r="H119" s="55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1">
        <v>22</v>
      </c>
      <c r="AF119" s="51">
        <v>22</v>
      </c>
      <c r="AG119" s="553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1">
        <v>22</v>
      </c>
    </row>
    <row r="120" spans="7:55" x14ac:dyDescent="0.35">
      <c r="G120" s="51">
        <v>21</v>
      </c>
      <c r="H120" s="55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1">
        <v>21</v>
      </c>
      <c r="AF120" s="51">
        <v>21</v>
      </c>
      <c r="AG120" s="553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1">
        <v>21</v>
      </c>
    </row>
    <row r="121" spans="7:55" x14ac:dyDescent="0.35">
      <c r="G121" s="51">
        <v>20</v>
      </c>
      <c r="H121" s="55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1">
        <v>20</v>
      </c>
      <c r="AF121" s="51">
        <v>20</v>
      </c>
      <c r="AG121" s="553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1">
        <v>20</v>
      </c>
    </row>
    <row r="122" spans="7:55" x14ac:dyDescent="0.35">
      <c r="G122" s="51">
        <v>19</v>
      </c>
      <c r="H122" s="55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1">
        <v>19</v>
      </c>
      <c r="AF122" s="51">
        <v>19</v>
      </c>
      <c r="AG122" s="553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1">
        <v>19</v>
      </c>
    </row>
    <row r="123" spans="7:55" x14ac:dyDescent="0.35">
      <c r="G123" s="51">
        <v>18</v>
      </c>
      <c r="H123" s="55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1">
        <v>18</v>
      </c>
      <c r="AF123" s="51">
        <v>18</v>
      </c>
      <c r="AG123" s="553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1">
        <v>18</v>
      </c>
    </row>
    <row r="124" spans="7:55" x14ac:dyDescent="0.35">
      <c r="G124" s="51">
        <v>17</v>
      </c>
      <c r="H124" s="55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1">
        <v>17</v>
      </c>
      <c r="AF124" s="51">
        <v>17</v>
      </c>
      <c r="AG124" s="553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1">
        <v>17</v>
      </c>
    </row>
    <row r="125" spans="7:55" x14ac:dyDescent="0.35">
      <c r="G125" s="51">
        <v>16</v>
      </c>
      <c r="H125" s="55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1">
        <v>16</v>
      </c>
      <c r="AF125" s="51">
        <v>16</v>
      </c>
      <c r="AG125" s="553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1">
        <v>16</v>
      </c>
    </row>
    <row r="126" spans="7:55" x14ac:dyDescent="0.35">
      <c r="G126" s="51">
        <v>15</v>
      </c>
      <c r="H126" s="55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1">
        <v>15</v>
      </c>
      <c r="AF126" s="51">
        <v>15</v>
      </c>
      <c r="AG126" s="553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1">
        <v>15</v>
      </c>
    </row>
    <row r="127" spans="7:55" x14ac:dyDescent="0.35">
      <c r="G127" s="51">
        <v>14</v>
      </c>
      <c r="H127" s="55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1">
        <v>14</v>
      </c>
      <c r="AF127" s="51">
        <v>14</v>
      </c>
      <c r="AG127" s="553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1">
        <v>14</v>
      </c>
    </row>
    <row r="128" spans="7:55" x14ac:dyDescent="0.35">
      <c r="G128" s="51">
        <v>13</v>
      </c>
      <c r="H128" s="55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1">
        <v>13</v>
      </c>
      <c r="AF128" s="51">
        <v>13</v>
      </c>
      <c r="AG128" s="553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1">
        <v>13</v>
      </c>
    </row>
    <row r="129" spans="7:55" x14ac:dyDescent="0.35">
      <c r="G129" s="51">
        <v>12</v>
      </c>
      <c r="H129" s="55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1">
        <v>12</v>
      </c>
      <c r="AF129" s="51">
        <v>12</v>
      </c>
      <c r="AG129" s="553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1">
        <v>12</v>
      </c>
    </row>
    <row r="130" spans="7:55" x14ac:dyDescent="0.35">
      <c r="G130" s="51">
        <v>11</v>
      </c>
      <c r="H130" s="55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1">
        <v>11</v>
      </c>
      <c r="AF130" s="51">
        <v>11</v>
      </c>
      <c r="AG130" s="553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1">
        <v>11</v>
      </c>
    </row>
    <row r="131" spans="7:55" x14ac:dyDescent="0.35">
      <c r="G131" s="51">
        <v>10</v>
      </c>
      <c r="H131" s="55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1">
        <v>10</v>
      </c>
      <c r="AF131" s="51">
        <v>10</v>
      </c>
      <c r="AG131" s="553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1">
        <v>10</v>
      </c>
    </row>
    <row r="132" spans="7:55" x14ac:dyDescent="0.35">
      <c r="G132" s="51">
        <v>9</v>
      </c>
      <c r="H132" s="55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1">
        <v>9</v>
      </c>
      <c r="AF132" s="51">
        <v>9</v>
      </c>
      <c r="AG132" s="553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1">
        <v>9</v>
      </c>
    </row>
    <row r="133" spans="7:55" x14ac:dyDescent="0.35">
      <c r="G133" s="51">
        <v>8</v>
      </c>
      <c r="H133" s="55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1">
        <v>8</v>
      </c>
      <c r="AF133" s="51">
        <v>8</v>
      </c>
      <c r="AG133" s="553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1">
        <v>8</v>
      </c>
    </row>
    <row r="134" spans="7:55" x14ac:dyDescent="0.35">
      <c r="G134" s="51">
        <v>7</v>
      </c>
      <c r="H134" s="55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1">
        <v>7</v>
      </c>
      <c r="AF134" s="51">
        <v>7</v>
      </c>
      <c r="AG134" s="553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1">
        <v>7</v>
      </c>
    </row>
    <row r="135" spans="7:55" x14ac:dyDescent="0.35">
      <c r="G135" s="51">
        <v>6</v>
      </c>
      <c r="H135" s="55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1">
        <v>6</v>
      </c>
      <c r="AF135" s="51">
        <v>6</v>
      </c>
      <c r="AG135" s="553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1">
        <v>6</v>
      </c>
    </row>
    <row r="136" spans="7:55" x14ac:dyDescent="0.35">
      <c r="G136" s="51">
        <v>5</v>
      </c>
      <c r="H136" s="55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1">
        <v>5</v>
      </c>
      <c r="AF136" s="51">
        <v>5</v>
      </c>
      <c r="AG136" s="553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1">
        <v>5</v>
      </c>
    </row>
    <row r="137" spans="7:55" x14ac:dyDescent="0.35">
      <c r="G137" s="51">
        <v>4</v>
      </c>
      <c r="H137" s="55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1">
        <v>4</v>
      </c>
      <c r="AF137" s="51">
        <v>4</v>
      </c>
      <c r="AG137" s="553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1">
        <v>4</v>
      </c>
    </row>
    <row r="138" spans="7:55" x14ac:dyDescent="0.35">
      <c r="G138" s="51">
        <v>3</v>
      </c>
      <c r="H138" s="55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1">
        <v>3</v>
      </c>
      <c r="AF138" s="51">
        <v>3</v>
      </c>
      <c r="AG138" s="553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1">
        <v>3</v>
      </c>
    </row>
    <row r="139" spans="7:55" x14ac:dyDescent="0.35">
      <c r="G139" s="51">
        <v>2</v>
      </c>
      <c r="H139" s="55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1">
        <v>2</v>
      </c>
      <c r="AF139" s="51">
        <v>2</v>
      </c>
      <c r="AG139" s="553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1">
        <v>2</v>
      </c>
    </row>
    <row r="140" spans="7:55" x14ac:dyDescent="0.35">
      <c r="G140" s="51">
        <v>1</v>
      </c>
      <c r="H140" s="55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1">
        <v>1</v>
      </c>
      <c r="AF140" s="51">
        <v>1</v>
      </c>
      <c r="AG140" s="553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1">
        <v>1</v>
      </c>
    </row>
    <row r="141" spans="7:55" x14ac:dyDescent="0.35">
      <c r="H141" s="544">
        <v>1</v>
      </c>
      <c r="I141" s="544">
        <v>2</v>
      </c>
      <c r="J141" s="544">
        <v>3</v>
      </c>
      <c r="K141" s="544">
        <v>4</v>
      </c>
      <c r="L141" s="544">
        <v>5</v>
      </c>
      <c r="M141" s="544">
        <v>6</v>
      </c>
      <c r="N141" s="544">
        <v>7</v>
      </c>
      <c r="O141" s="544">
        <v>8</v>
      </c>
      <c r="P141" s="544">
        <v>9</v>
      </c>
      <c r="Q141" s="544">
        <v>10</v>
      </c>
      <c r="R141" s="544">
        <v>11</v>
      </c>
      <c r="S141" s="544">
        <v>12</v>
      </c>
      <c r="T141" s="544">
        <v>13</v>
      </c>
      <c r="U141" s="544">
        <v>14</v>
      </c>
      <c r="V141" s="544">
        <v>15</v>
      </c>
      <c r="W141" s="544">
        <v>16</v>
      </c>
      <c r="X141" s="544">
        <v>17</v>
      </c>
      <c r="Y141" s="544">
        <v>18</v>
      </c>
      <c r="Z141" s="544">
        <v>19</v>
      </c>
      <c r="AA141" s="544">
        <v>20</v>
      </c>
      <c r="AB141" s="544">
        <v>21</v>
      </c>
      <c r="AC141" s="544">
        <v>22</v>
      </c>
      <c r="AG141" s="554">
        <v>1</v>
      </c>
      <c r="AH141" s="544">
        <v>2</v>
      </c>
      <c r="AI141" s="554">
        <v>3</v>
      </c>
      <c r="AJ141" s="544">
        <v>4</v>
      </c>
      <c r="AK141" s="554">
        <v>5</v>
      </c>
      <c r="AL141" s="544">
        <v>6</v>
      </c>
      <c r="AM141" s="554">
        <v>7</v>
      </c>
      <c r="AN141" s="544">
        <v>8</v>
      </c>
      <c r="AO141" s="554">
        <v>9</v>
      </c>
      <c r="AP141" s="544">
        <v>10</v>
      </c>
      <c r="AQ141" s="554">
        <v>11</v>
      </c>
      <c r="AR141" s="544">
        <v>12</v>
      </c>
      <c r="AS141" s="554">
        <v>13</v>
      </c>
      <c r="AT141" s="544">
        <v>14</v>
      </c>
      <c r="AU141" s="554">
        <v>15</v>
      </c>
      <c r="AV141" s="544">
        <v>16</v>
      </c>
      <c r="AW141" s="554">
        <v>17</v>
      </c>
      <c r="AX141" s="544">
        <v>18</v>
      </c>
      <c r="AY141" s="554">
        <v>19</v>
      </c>
      <c r="AZ141" s="544">
        <v>20</v>
      </c>
      <c r="BA141" s="554">
        <v>21</v>
      </c>
      <c r="BB141" s="544">
        <v>22</v>
      </c>
    </row>
    <row r="142" spans="7:55" x14ac:dyDescent="0.35">
      <c r="H142" s="48" t="s">
        <v>212</v>
      </c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G142" s="48" t="s">
        <v>212</v>
      </c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</row>
    <row r="143" spans="7:55" x14ac:dyDescent="0.35">
      <c r="H143" s="48" t="s">
        <v>208</v>
      </c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46"/>
      <c r="AE143" s="46"/>
      <c r="AF143" s="46"/>
      <c r="AG143" s="541" t="s">
        <v>209</v>
      </c>
      <c r="AH143" s="541"/>
    </row>
  </sheetData>
  <mergeCells count="6">
    <mergeCell ref="B4:BD4"/>
    <mergeCell ref="E9:E10"/>
    <mergeCell ref="D10:D11"/>
    <mergeCell ref="G15:P15"/>
    <mergeCell ref="F20:F26"/>
    <mergeCell ref="BD20:BD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S112"/>
  <sheetViews>
    <sheetView zoomScale="20" zoomScaleNormal="20" workbookViewId="0"/>
  </sheetViews>
  <sheetFormatPr baseColWidth="10" defaultRowHeight="14.5" x14ac:dyDescent="0.35"/>
  <cols>
    <col min="1" max="1" width="9.81640625" customWidth="1"/>
    <col min="2" max="2" width="3.7265625" customWidth="1"/>
    <col min="3" max="3" width="9.453125" customWidth="1"/>
    <col min="4" max="32" width="3.7265625" customWidth="1"/>
    <col min="33" max="33" width="9.453125" customWidth="1"/>
    <col min="34" max="62" width="3.7265625" customWidth="1"/>
    <col min="63" max="63" width="9.453125" customWidth="1"/>
    <col min="64" max="92" width="3.7265625" customWidth="1"/>
    <col min="93" max="93" width="9.453125" customWidth="1"/>
    <col min="94" max="121" width="3.7265625" customWidth="1"/>
    <col min="122" max="122" width="5.54296875" customWidth="1"/>
    <col min="123" max="123" width="9.453125" customWidth="1"/>
    <col min="124" max="198" width="3.7265625" customWidth="1"/>
  </cols>
  <sheetData>
    <row r="1" spans="2:147" ht="15" thickBot="1" x14ac:dyDescent="0.4"/>
    <row r="2" spans="2:147" x14ac:dyDescent="0.35">
      <c r="B2" s="767" t="s">
        <v>123</v>
      </c>
      <c r="C2" s="413">
        <v>1</v>
      </c>
      <c r="D2" s="417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9"/>
      <c r="AF2" s="767" t="s">
        <v>123</v>
      </c>
      <c r="AG2" s="413">
        <v>1</v>
      </c>
      <c r="AH2" s="425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7"/>
      <c r="BJ2" s="767" t="s">
        <v>123</v>
      </c>
      <c r="BK2" s="413">
        <v>1</v>
      </c>
      <c r="BL2" s="434"/>
      <c r="BM2" s="435"/>
      <c r="BN2" s="435"/>
      <c r="BO2" s="435"/>
      <c r="BP2" s="435"/>
      <c r="BQ2" s="435"/>
      <c r="BR2" s="435"/>
      <c r="BS2" s="435"/>
      <c r="BT2" s="435"/>
      <c r="BU2" s="435"/>
      <c r="BV2" s="435"/>
      <c r="BW2" s="435"/>
      <c r="BX2" s="435"/>
      <c r="BY2" s="435"/>
      <c r="BZ2" s="435"/>
      <c r="CA2" s="435"/>
      <c r="CB2" s="435"/>
      <c r="CC2" s="435"/>
      <c r="CD2" s="435"/>
      <c r="CE2" s="435"/>
      <c r="CF2" s="435"/>
      <c r="CG2" s="435"/>
      <c r="CH2" s="435"/>
      <c r="CI2" s="436"/>
      <c r="CN2" s="767" t="s">
        <v>123</v>
      </c>
      <c r="CO2" s="413">
        <v>1</v>
      </c>
      <c r="CP2" s="434"/>
      <c r="CQ2" s="435"/>
      <c r="CR2" s="435"/>
      <c r="CS2" s="435"/>
      <c r="CT2" s="435"/>
      <c r="CU2" s="435"/>
      <c r="CV2" s="435"/>
      <c r="CW2" s="435"/>
      <c r="CX2" s="435"/>
      <c r="CY2" s="435"/>
      <c r="CZ2" s="435"/>
      <c r="DA2" s="435"/>
      <c r="DB2" s="435"/>
      <c r="DC2" s="435"/>
      <c r="DD2" s="435"/>
      <c r="DE2" s="435"/>
      <c r="DF2" s="435"/>
      <c r="DG2" s="435"/>
      <c r="DH2" s="435"/>
      <c r="DI2" s="435"/>
      <c r="DJ2" s="435"/>
      <c r="DK2" s="435"/>
      <c r="DL2" s="435"/>
      <c r="DM2" s="436"/>
      <c r="DR2" s="767" t="s">
        <v>123</v>
      </c>
      <c r="DS2" s="413">
        <v>1</v>
      </c>
      <c r="DT2" s="434"/>
      <c r="DU2" s="435"/>
      <c r="DV2" s="435"/>
      <c r="DW2" s="435"/>
      <c r="DX2" s="435"/>
      <c r="DY2" s="435"/>
      <c r="DZ2" s="435"/>
      <c r="EA2" s="435"/>
      <c r="EB2" s="435"/>
      <c r="EC2" s="435"/>
      <c r="ED2" s="435"/>
      <c r="EE2" s="435"/>
      <c r="EF2" s="435"/>
      <c r="EG2" s="435"/>
      <c r="EH2" s="435"/>
      <c r="EI2" s="435"/>
      <c r="EJ2" s="435"/>
      <c r="EK2" s="435"/>
      <c r="EL2" s="435"/>
      <c r="EM2" s="435"/>
      <c r="EN2" s="435"/>
      <c r="EO2" s="435"/>
      <c r="EP2" s="435"/>
      <c r="EQ2" s="436"/>
    </row>
    <row r="3" spans="2:147" x14ac:dyDescent="0.35">
      <c r="B3" s="767"/>
      <c r="C3" s="413">
        <v>0.99</v>
      </c>
      <c r="D3" s="420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21"/>
      <c r="AF3" s="767"/>
      <c r="AG3" s="413">
        <v>0.99</v>
      </c>
      <c r="AH3" s="428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29"/>
      <c r="BJ3" s="767"/>
      <c r="BK3" s="413">
        <v>0.99</v>
      </c>
      <c r="BL3" s="437"/>
      <c r="BM3" s="438"/>
      <c r="BN3" s="438"/>
      <c r="BO3" s="438"/>
      <c r="BP3" s="438"/>
      <c r="BQ3" s="438"/>
      <c r="BR3" s="438"/>
      <c r="BS3" s="438"/>
      <c r="BT3" s="438"/>
      <c r="BU3" s="438"/>
      <c r="BV3" s="438"/>
      <c r="BW3" s="438"/>
      <c r="BX3" s="438"/>
      <c r="BY3" s="438"/>
      <c r="BZ3" s="438"/>
      <c r="CA3" s="438"/>
      <c r="CB3" s="438"/>
      <c r="CC3" s="438"/>
      <c r="CD3" s="438"/>
      <c r="CE3" s="438"/>
      <c r="CF3" s="438"/>
      <c r="CG3" s="438"/>
      <c r="CH3" s="438"/>
      <c r="CI3" s="439"/>
      <c r="CN3" s="767"/>
      <c r="CO3" s="413">
        <v>0.99</v>
      </c>
      <c r="CP3" s="437"/>
      <c r="CQ3" s="438"/>
      <c r="CR3" s="438"/>
      <c r="CS3" s="438"/>
      <c r="CT3" s="438"/>
      <c r="CU3" s="438"/>
      <c r="CV3" s="438"/>
      <c r="CW3" s="438"/>
      <c r="CX3" s="438"/>
      <c r="CY3" s="438"/>
      <c r="CZ3" s="438"/>
      <c r="DA3" s="438"/>
      <c r="DB3" s="438"/>
      <c r="DC3" s="438"/>
      <c r="DD3" s="438"/>
      <c r="DE3" s="438"/>
      <c r="DF3" s="438"/>
      <c r="DG3" s="438"/>
      <c r="DH3" s="438"/>
      <c r="DI3" s="438"/>
      <c r="DJ3" s="438"/>
      <c r="DK3" s="438"/>
      <c r="DL3" s="438"/>
      <c r="DM3" s="439"/>
      <c r="DR3" s="767"/>
      <c r="DS3" s="413">
        <v>0.99</v>
      </c>
      <c r="DT3" s="437"/>
      <c r="DU3" s="438"/>
      <c r="DV3" s="438"/>
      <c r="DW3" s="438"/>
      <c r="DX3" s="438"/>
      <c r="DY3" s="438"/>
      <c r="DZ3" s="438"/>
      <c r="EA3" s="438"/>
      <c r="EB3" s="438"/>
      <c r="EC3" s="438"/>
      <c r="ED3" s="438"/>
      <c r="EE3" s="438"/>
      <c r="EF3" s="438"/>
      <c r="EG3" s="438"/>
      <c r="EH3" s="438"/>
      <c r="EI3" s="438"/>
      <c r="EJ3" s="438"/>
      <c r="EK3" s="438"/>
      <c r="EL3" s="438"/>
      <c r="EM3" s="438"/>
      <c r="EN3" s="438"/>
      <c r="EO3" s="438"/>
      <c r="EP3" s="438"/>
      <c r="EQ3" s="439"/>
    </row>
    <row r="4" spans="2:147" x14ac:dyDescent="0.35">
      <c r="B4" s="767"/>
      <c r="C4" s="413">
        <v>0.98</v>
      </c>
      <c r="D4" s="420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21"/>
      <c r="AF4" s="767"/>
      <c r="AG4" s="413">
        <v>0.98</v>
      </c>
      <c r="AH4" s="428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4"/>
      <c r="BC4" s="414"/>
      <c r="BD4" s="414"/>
      <c r="BE4" s="429"/>
      <c r="BJ4" s="767"/>
      <c r="BK4" s="413">
        <v>0.98</v>
      </c>
      <c r="BL4" s="437"/>
      <c r="BM4" s="438"/>
      <c r="BN4" s="438"/>
      <c r="BO4" s="438"/>
      <c r="BP4" s="438"/>
      <c r="BQ4" s="438"/>
      <c r="BR4" s="438"/>
      <c r="BS4" s="438"/>
      <c r="BT4" s="438"/>
      <c r="BU4" s="438"/>
      <c r="BV4" s="438"/>
      <c r="BW4" s="438"/>
      <c r="BX4" s="438"/>
      <c r="BY4" s="438"/>
      <c r="BZ4" s="438"/>
      <c r="CA4" s="438"/>
      <c r="CB4" s="438"/>
      <c r="CC4" s="438"/>
      <c r="CD4" s="438"/>
      <c r="CE4" s="438"/>
      <c r="CF4" s="438"/>
      <c r="CG4" s="438"/>
      <c r="CH4" s="438"/>
      <c r="CI4" s="439"/>
      <c r="CN4" s="767"/>
      <c r="CO4" s="413">
        <v>0.98</v>
      </c>
      <c r="CP4" s="437"/>
      <c r="CQ4" s="438"/>
      <c r="CR4" s="438"/>
      <c r="CS4" s="438"/>
      <c r="CT4" s="438"/>
      <c r="CU4" s="438"/>
      <c r="CV4" s="438"/>
      <c r="CW4" s="438"/>
      <c r="CX4" s="438"/>
      <c r="CY4" s="438"/>
      <c r="CZ4" s="438"/>
      <c r="DA4" s="438"/>
      <c r="DB4" s="438"/>
      <c r="DC4" s="438"/>
      <c r="DD4" s="438"/>
      <c r="DE4" s="438"/>
      <c r="DF4" s="438"/>
      <c r="DG4" s="438"/>
      <c r="DH4" s="438"/>
      <c r="DI4" s="438"/>
      <c r="DJ4" s="438"/>
      <c r="DK4" s="438"/>
      <c r="DL4" s="438"/>
      <c r="DM4" s="439"/>
      <c r="DR4" s="767"/>
      <c r="DS4" s="413">
        <v>0.98</v>
      </c>
      <c r="DT4" s="437"/>
      <c r="DU4" s="438"/>
      <c r="DV4" s="438"/>
      <c r="DW4" s="438"/>
      <c r="DX4" s="438"/>
      <c r="DY4" s="438"/>
      <c r="DZ4" s="438"/>
      <c r="EA4" s="438"/>
      <c r="EB4" s="438"/>
      <c r="EC4" s="438"/>
      <c r="ED4" s="438"/>
      <c r="EE4" s="438"/>
      <c r="EF4" s="438"/>
      <c r="EG4" s="438"/>
      <c r="EH4" s="438"/>
      <c r="EI4" s="438"/>
      <c r="EJ4" s="438"/>
      <c r="EK4" s="438"/>
      <c r="EL4" s="438"/>
      <c r="EM4" s="438"/>
      <c r="EN4" s="438"/>
      <c r="EO4" s="438"/>
      <c r="EP4" s="438"/>
      <c r="EQ4" s="439"/>
    </row>
    <row r="5" spans="2:147" x14ac:dyDescent="0.35">
      <c r="B5" s="767"/>
      <c r="C5" s="413">
        <v>0.97</v>
      </c>
      <c r="D5" s="420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21"/>
      <c r="AF5" s="767"/>
      <c r="AG5" s="413">
        <v>0.97</v>
      </c>
      <c r="AH5" s="428"/>
      <c r="AI5" s="414"/>
      <c r="AJ5" s="414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4"/>
      <c r="BC5" s="414"/>
      <c r="BD5" s="414"/>
      <c r="BE5" s="429"/>
      <c r="BJ5" s="767"/>
      <c r="BK5" s="413">
        <v>0.97</v>
      </c>
      <c r="BL5" s="437"/>
      <c r="BM5" s="438"/>
      <c r="BN5" s="438"/>
      <c r="BO5" s="438"/>
      <c r="BP5" s="438"/>
      <c r="BQ5" s="438"/>
      <c r="BR5" s="438"/>
      <c r="BS5" s="438"/>
      <c r="BT5" s="438"/>
      <c r="BU5" s="438"/>
      <c r="BV5" s="438"/>
      <c r="BW5" s="438"/>
      <c r="BX5" s="438"/>
      <c r="BY5" s="438"/>
      <c r="BZ5" s="438"/>
      <c r="CA5" s="438"/>
      <c r="CB5" s="438"/>
      <c r="CC5" s="438"/>
      <c r="CD5" s="438"/>
      <c r="CE5" s="438"/>
      <c r="CF5" s="438"/>
      <c r="CG5" s="438"/>
      <c r="CH5" s="438"/>
      <c r="CI5" s="439"/>
      <c r="CN5" s="767"/>
      <c r="CO5" s="413">
        <v>0.97</v>
      </c>
      <c r="CP5" s="437"/>
      <c r="CQ5" s="438"/>
      <c r="CR5" s="438"/>
      <c r="CS5" s="438"/>
      <c r="CT5" s="438"/>
      <c r="CU5" s="438"/>
      <c r="CV5" s="438"/>
      <c r="CW5" s="438"/>
      <c r="CX5" s="438"/>
      <c r="CY5" s="438"/>
      <c r="CZ5" s="438"/>
      <c r="DA5" s="438"/>
      <c r="DB5" s="438"/>
      <c r="DC5" s="438"/>
      <c r="DD5" s="438"/>
      <c r="DE5" s="438"/>
      <c r="DF5" s="438"/>
      <c r="DG5" s="438"/>
      <c r="DH5" s="438"/>
      <c r="DI5" s="438"/>
      <c r="DJ5" s="438"/>
      <c r="DK5" s="438"/>
      <c r="DL5" s="438"/>
      <c r="DM5" s="439"/>
      <c r="DR5" s="767"/>
      <c r="DS5" s="413">
        <v>0.97</v>
      </c>
      <c r="DT5" s="437"/>
      <c r="DU5" s="438"/>
      <c r="DV5" s="438"/>
      <c r="DW5" s="438"/>
      <c r="DX5" s="438"/>
      <c r="DY5" s="438"/>
      <c r="DZ5" s="438"/>
      <c r="EA5" s="438"/>
      <c r="EB5" s="438"/>
      <c r="EC5" s="438"/>
      <c r="ED5" s="438"/>
      <c r="EE5" s="438"/>
      <c r="EF5" s="438"/>
      <c r="EG5" s="438"/>
      <c r="EH5" s="438"/>
      <c r="EI5" s="438"/>
      <c r="EJ5" s="438"/>
      <c r="EK5" s="438"/>
      <c r="EL5" s="438"/>
      <c r="EM5" s="438"/>
      <c r="EN5" s="438"/>
      <c r="EO5" s="438"/>
      <c r="EP5" s="438"/>
      <c r="EQ5" s="439"/>
    </row>
    <row r="6" spans="2:147" x14ac:dyDescent="0.35">
      <c r="B6" s="767"/>
      <c r="C6" s="413">
        <v>0.96</v>
      </c>
      <c r="D6" s="420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21"/>
      <c r="AF6" s="767"/>
      <c r="AG6" s="413">
        <v>0.96</v>
      </c>
      <c r="AH6" s="428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29"/>
      <c r="BJ6" s="767"/>
      <c r="BK6" s="413">
        <v>0.96</v>
      </c>
      <c r="BL6" s="437"/>
      <c r="BM6" s="438"/>
      <c r="BN6" s="438"/>
      <c r="BO6" s="438"/>
      <c r="BP6" s="438"/>
      <c r="BQ6" s="438"/>
      <c r="BR6" s="438"/>
      <c r="BS6" s="438"/>
      <c r="BT6" s="438"/>
      <c r="BU6" s="438"/>
      <c r="BV6" s="438"/>
      <c r="BW6" s="438"/>
      <c r="BX6" s="438"/>
      <c r="BY6" s="438"/>
      <c r="BZ6" s="438"/>
      <c r="CA6" s="438"/>
      <c r="CB6" s="438"/>
      <c r="CC6" s="438"/>
      <c r="CD6" s="438"/>
      <c r="CE6" s="438"/>
      <c r="CF6" s="438"/>
      <c r="CG6" s="438"/>
      <c r="CH6" s="438"/>
      <c r="CI6" s="439"/>
      <c r="CN6" s="767"/>
      <c r="CO6" s="413">
        <v>0.96</v>
      </c>
      <c r="CP6" s="437"/>
      <c r="CQ6" s="438"/>
      <c r="CR6" s="438"/>
      <c r="CS6" s="438"/>
      <c r="CT6" s="438"/>
      <c r="CU6" s="438"/>
      <c r="CV6" s="438"/>
      <c r="CW6" s="438"/>
      <c r="CX6" s="438"/>
      <c r="CY6" s="438"/>
      <c r="CZ6" s="438"/>
      <c r="DA6" s="438"/>
      <c r="DB6" s="438"/>
      <c r="DC6" s="438"/>
      <c r="DD6" s="438"/>
      <c r="DE6" s="438"/>
      <c r="DF6" s="438"/>
      <c r="DG6" s="438"/>
      <c r="DH6" s="438"/>
      <c r="DI6" s="438"/>
      <c r="DJ6" s="438"/>
      <c r="DK6" s="438"/>
      <c r="DL6" s="438"/>
      <c r="DM6" s="439"/>
      <c r="DR6" s="767"/>
      <c r="DS6" s="413">
        <v>0.96</v>
      </c>
      <c r="DT6" s="437"/>
      <c r="DU6" s="438"/>
      <c r="DV6" s="438"/>
      <c r="DW6" s="438"/>
      <c r="DX6" s="438"/>
      <c r="DY6" s="438"/>
      <c r="DZ6" s="438"/>
      <c r="EA6" s="438"/>
      <c r="EB6" s="438"/>
      <c r="EC6" s="438"/>
      <c r="ED6" s="438"/>
      <c r="EE6" s="438"/>
      <c r="EF6" s="438"/>
      <c r="EG6" s="438"/>
      <c r="EH6" s="438"/>
      <c r="EI6" s="438"/>
      <c r="EJ6" s="438"/>
      <c r="EK6" s="438"/>
      <c r="EL6" s="438"/>
      <c r="EM6" s="438"/>
      <c r="EN6" s="438"/>
      <c r="EO6" s="438"/>
      <c r="EP6" s="438"/>
      <c r="EQ6" s="439"/>
    </row>
    <row r="7" spans="2:147" x14ac:dyDescent="0.35">
      <c r="B7" s="767"/>
      <c r="C7" s="413">
        <v>0.95</v>
      </c>
      <c r="D7" s="420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21"/>
      <c r="AF7" s="767"/>
      <c r="AG7" s="413">
        <v>0.95</v>
      </c>
      <c r="AH7" s="428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414"/>
      <c r="BE7" s="429"/>
      <c r="BJ7" s="767"/>
      <c r="BK7" s="413">
        <v>0.95</v>
      </c>
      <c r="BL7" s="437"/>
      <c r="BM7" s="438"/>
      <c r="BN7" s="438"/>
      <c r="BO7" s="438"/>
      <c r="BP7" s="438"/>
      <c r="BQ7" s="438"/>
      <c r="BR7" s="438"/>
      <c r="BS7" s="438"/>
      <c r="BT7" s="438"/>
      <c r="BU7" s="438"/>
      <c r="BV7" s="438"/>
      <c r="BW7" s="438"/>
      <c r="BX7" s="438"/>
      <c r="BY7" s="438"/>
      <c r="BZ7" s="438"/>
      <c r="CA7" s="438"/>
      <c r="CB7" s="438"/>
      <c r="CC7" s="438"/>
      <c r="CD7" s="438"/>
      <c r="CE7" s="438"/>
      <c r="CF7" s="438"/>
      <c r="CG7" s="438"/>
      <c r="CH7" s="438"/>
      <c r="CI7" s="439"/>
      <c r="CN7" s="767"/>
      <c r="CO7" s="413">
        <v>0.95</v>
      </c>
      <c r="CP7" s="437"/>
      <c r="CQ7" s="438"/>
      <c r="CR7" s="438"/>
      <c r="CS7" s="438"/>
      <c r="CT7" s="438"/>
      <c r="CU7" s="438"/>
      <c r="CV7" s="438"/>
      <c r="CW7" s="438"/>
      <c r="CX7" s="438"/>
      <c r="CY7" s="438"/>
      <c r="CZ7" s="438"/>
      <c r="DA7" s="438"/>
      <c r="DB7" s="438"/>
      <c r="DC7" s="438"/>
      <c r="DD7" s="438"/>
      <c r="DE7" s="438"/>
      <c r="DF7" s="438"/>
      <c r="DG7" s="438"/>
      <c r="DH7" s="438"/>
      <c r="DI7" s="438"/>
      <c r="DJ7" s="438"/>
      <c r="DK7" s="438"/>
      <c r="DL7" s="438"/>
      <c r="DM7" s="439"/>
      <c r="DR7" s="767"/>
      <c r="DS7" s="413">
        <v>0.95</v>
      </c>
      <c r="DT7" s="437"/>
      <c r="DU7" s="438"/>
      <c r="DV7" s="438"/>
      <c r="DW7" s="438"/>
      <c r="DX7" s="438"/>
      <c r="DY7" s="438"/>
      <c r="DZ7" s="438"/>
      <c r="EA7" s="438"/>
      <c r="EB7" s="438"/>
      <c r="EC7" s="438"/>
      <c r="ED7" s="438"/>
      <c r="EE7" s="438"/>
      <c r="EF7" s="438"/>
      <c r="EG7" s="438"/>
      <c r="EH7" s="438"/>
      <c r="EI7" s="438"/>
      <c r="EJ7" s="438"/>
      <c r="EK7" s="438"/>
      <c r="EL7" s="438"/>
      <c r="EM7" s="438"/>
      <c r="EN7" s="438"/>
      <c r="EO7" s="438"/>
      <c r="EP7" s="438"/>
      <c r="EQ7" s="439"/>
    </row>
    <row r="8" spans="2:147" x14ac:dyDescent="0.35">
      <c r="B8" s="767"/>
      <c r="C8" s="413">
        <v>0.94</v>
      </c>
      <c r="D8" s="420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21"/>
      <c r="AF8" s="767"/>
      <c r="AG8" s="413">
        <v>0.94</v>
      </c>
      <c r="AH8" s="428"/>
      <c r="AI8" s="414"/>
      <c r="AJ8" s="414"/>
      <c r="AK8" s="414"/>
      <c r="AL8" s="414"/>
      <c r="AM8" s="41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29"/>
      <c r="BJ8" s="767"/>
      <c r="BK8" s="413">
        <v>0.94</v>
      </c>
      <c r="BL8" s="437"/>
      <c r="BM8" s="438"/>
      <c r="BN8" s="438"/>
      <c r="BO8" s="438"/>
      <c r="BP8" s="438"/>
      <c r="BQ8" s="438"/>
      <c r="BR8" s="438"/>
      <c r="BS8" s="438"/>
      <c r="BT8" s="438"/>
      <c r="BU8" s="438"/>
      <c r="BV8" s="438"/>
      <c r="BW8" s="438"/>
      <c r="BX8" s="438"/>
      <c r="BY8" s="438"/>
      <c r="BZ8" s="438"/>
      <c r="CA8" s="438"/>
      <c r="CB8" s="438"/>
      <c r="CC8" s="438"/>
      <c r="CD8" s="438"/>
      <c r="CE8" s="438"/>
      <c r="CF8" s="438"/>
      <c r="CG8" s="438"/>
      <c r="CH8" s="438"/>
      <c r="CI8" s="439"/>
      <c r="CN8" s="767"/>
      <c r="CO8" s="413">
        <v>0.94</v>
      </c>
      <c r="CP8" s="437"/>
      <c r="CQ8" s="438"/>
      <c r="CR8" s="438"/>
      <c r="CS8" s="438"/>
      <c r="CT8" s="438"/>
      <c r="CU8" s="438"/>
      <c r="CV8" s="438"/>
      <c r="CW8" s="438"/>
      <c r="CX8" s="438"/>
      <c r="CY8" s="438"/>
      <c r="CZ8" s="438"/>
      <c r="DA8" s="438"/>
      <c r="DB8" s="438"/>
      <c r="DC8" s="438"/>
      <c r="DD8" s="438"/>
      <c r="DE8" s="438"/>
      <c r="DF8" s="438"/>
      <c r="DG8" s="438"/>
      <c r="DH8" s="438"/>
      <c r="DI8" s="438"/>
      <c r="DJ8" s="438"/>
      <c r="DK8" s="438"/>
      <c r="DL8" s="438"/>
      <c r="DM8" s="439"/>
      <c r="DR8" s="767"/>
      <c r="DS8" s="413">
        <v>0.94</v>
      </c>
      <c r="DT8" s="437"/>
      <c r="DU8" s="438"/>
      <c r="DV8" s="438"/>
      <c r="DW8" s="438"/>
      <c r="DX8" s="438"/>
      <c r="DY8" s="438"/>
      <c r="DZ8" s="438"/>
      <c r="EA8" s="438"/>
      <c r="EB8" s="438"/>
      <c r="EC8" s="438"/>
      <c r="ED8" s="438"/>
      <c r="EE8" s="438"/>
      <c r="EF8" s="438"/>
      <c r="EG8" s="438"/>
      <c r="EH8" s="438"/>
      <c r="EI8" s="438"/>
      <c r="EJ8" s="438"/>
      <c r="EK8" s="438"/>
      <c r="EL8" s="438"/>
      <c r="EM8" s="438"/>
      <c r="EN8" s="438"/>
      <c r="EO8" s="438"/>
      <c r="EP8" s="438"/>
      <c r="EQ8" s="439"/>
    </row>
    <row r="9" spans="2:147" x14ac:dyDescent="0.35">
      <c r="B9" s="767"/>
      <c r="C9" s="413">
        <v>0.93</v>
      </c>
      <c r="D9" s="420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21"/>
      <c r="AF9" s="767"/>
      <c r="AG9" s="413">
        <v>0.93</v>
      </c>
      <c r="AH9" s="428"/>
      <c r="AI9" s="414"/>
      <c r="AJ9" s="414"/>
      <c r="AK9" s="414"/>
      <c r="AL9" s="414"/>
      <c r="AM9" s="414"/>
      <c r="AN9" s="414"/>
      <c r="AO9" s="414"/>
      <c r="AP9" s="414"/>
      <c r="AQ9" s="414"/>
      <c r="AR9" s="414"/>
      <c r="AS9" s="414"/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29"/>
      <c r="BJ9" s="767"/>
      <c r="BK9" s="413">
        <v>0.93</v>
      </c>
      <c r="BL9" s="437"/>
      <c r="BM9" s="438"/>
      <c r="BN9" s="438"/>
      <c r="BO9" s="438"/>
      <c r="BP9" s="438"/>
      <c r="BQ9" s="438"/>
      <c r="BR9" s="438"/>
      <c r="BS9" s="438"/>
      <c r="BT9" s="438"/>
      <c r="BU9" s="438"/>
      <c r="BV9" s="438"/>
      <c r="BW9" s="438"/>
      <c r="BX9" s="438"/>
      <c r="BY9" s="438"/>
      <c r="BZ9" s="438"/>
      <c r="CA9" s="438"/>
      <c r="CB9" s="438"/>
      <c r="CC9" s="438"/>
      <c r="CD9" s="438"/>
      <c r="CE9" s="438"/>
      <c r="CF9" s="438"/>
      <c r="CG9" s="438"/>
      <c r="CH9" s="438"/>
      <c r="CI9" s="439"/>
      <c r="CN9" s="767"/>
      <c r="CO9" s="413">
        <v>0.93</v>
      </c>
      <c r="CP9" s="437"/>
      <c r="CQ9" s="438"/>
      <c r="CR9" s="438"/>
      <c r="CS9" s="438"/>
      <c r="CT9" s="438"/>
      <c r="CU9" s="438"/>
      <c r="CV9" s="438"/>
      <c r="CW9" s="438"/>
      <c r="CX9" s="438"/>
      <c r="CY9" s="438"/>
      <c r="CZ9" s="438"/>
      <c r="DA9" s="438"/>
      <c r="DB9" s="438"/>
      <c r="DC9" s="438"/>
      <c r="DD9" s="438"/>
      <c r="DE9" s="438"/>
      <c r="DF9" s="438"/>
      <c r="DG9" s="438"/>
      <c r="DH9" s="438"/>
      <c r="DI9" s="438"/>
      <c r="DJ9" s="438"/>
      <c r="DK9" s="438"/>
      <c r="DL9" s="438"/>
      <c r="DM9" s="439"/>
      <c r="DR9" s="767"/>
      <c r="DS9" s="413">
        <v>0.93</v>
      </c>
      <c r="DT9" s="437"/>
      <c r="DU9" s="438"/>
      <c r="DV9" s="438"/>
      <c r="DW9" s="438"/>
      <c r="DX9" s="438"/>
      <c r="DY9" s="438"/>
      <c r="DZ9" s="438"/>
      <c r="EA9" s="438"/>
      <c r="EB9" s="438"/>
      <c r="EC9" s="438"/>
      <c r="ED9" s="438"/>
      <c r="EE9" s="438"/>
      <c r="EF9" s="438"/>
      <c r="EG9" s="438"/>
      <c r="EH9" s="438"/>
      <c r="EI9" s="438"/>
      <c r="EJ9" s="438"/>
      <c r="EK9" s="438"/>
      <c r="EL9" s="438"/>
      <c r="EM9" s="438"/>
      <c r="EN9" s="438"/>
      <c r="EO9" s="438"/>
      <c r="EP9" s="438"/>
      <c r="EQ9" s="439"/>
    </row>
    <row r="10" spans="2:147" x14ac:dyDescent="0.35">
      <c r="C10" s="413">
        <v>0.92</v>
      </c>
      <c r="D10" s="420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21"/>
      <c r="AG10" s="413">
        <v>0.92</v>
      </c>
      <c r="AH10" s="428"/>
      <c r="AI10" s="414"/>
      <c r="AJ10" s="414"/>
      <c r="AK10" s="414"/>
      <c r="AL10" s="414"/>
      <c r="AM10" s="414"/>
      <c r="AN10" s="414"/>
      <c r="AO10" s="414"/>
      <c r="AP10" s="414"/>
      <c r="AQ10" s="414"/>
      <c r="AR10" s="414"/>
      <c r="AS10" s="414"/>
      <c r="AT10" s="414"/>
      <c r="AU10" s="414"/>
      <c r="AV10" s="414"/>
      <c r="AW10" s="414"/>
      <c r="AX10" s="414"/>
      <c r="AY10" s="414"/>
      <c r="AZ10" s="414"/>
      <c r="BA10" s="414"/>
      <c r="BB10" s="414"/>
      <c r="BC10" s="414"/>
      <c r="BD10" s="414"/>
      <c r="BE10" s="429"/>
      <c r="BK10" s="413">
        <v>0.92</v>
      </c>
      <c r="BL10" s="437"/>
      <c r="BM10" s="438"/>
      <c r="BN10" s="438"/>
      <c r="BO10" s="438"/>
      <c r="BP10" s="438"/>
      <c r="BQ10" s="438"/>
      <c r="BR10" s="438"/>
      <c r="BS10" s="438"/>
      <c r="BT10" s="438"/>
      <c r="BU10" s="438"/>
      <c r="BV10" s="438"/>
      <c r="BW10" s="438"/>
      <c r="BX10" s="438"/>
      <c r="BY10" s="438"/>
      <c r="BZ10" s="438"/>
      <c r="CA10" s="438"/>
      <c r="CB10" s="438"/>
      <c r="CC10" s="438"/>
      <c r="CD10" s="438"/>
      <c r="CE10" s="438"/>
      <c r="CF10" s="438"/>
      <c r="CG10" s="438"/>
      <c r="CH10" s="438"/>
      <c r="CI10" s="439"/>
      <c r="CO10" s="413">
        <v>0.92</v>
      </c>
      <c r="CP10" s="437"/>
      <c r="CQ10" s="438"/>
      <c r="CR10" s="438"/>
      <c r="CS10" s="438"/>
      <c r="CT10" s="438"/>
      <c r="CU10" s="438"/>
      <c r="CV10" s="438"/>
      <c r="CW10" s="438"/>
      <c r="CX10" s="438"/>
      <c r="CY10" s="438"/>
      <c r="CZ10" s="438"/>
      <c r="DA10" s="438"/>
      <c r="DB10" s="438"/>
      <c r="DC10" s="438"/>
      <c r="DD10" s="438"/>
      <c r="DE10" s="438"/>
      <c r="DF10" s="438"/>
      <c r="DG10" s="438"/>
      <c r="DH10" s="438"/>
      <c r="DI10" s="438"/>
      <c r="DJ10" s="438"/>
      <c r="DK10" s="438"/>
      <c r="DL10" s="438"/>
      <c r="DM10" s="439"/>
      <c r="DS10" s="413">
        <v>0.92</v>
      </c>
      <c r="DT10" s="437"/>
      <c r="DU10" s="438"/>
      <c r="DV10" s="438"/>
      <c r="DW10" s="438"/>
      <c r="DX10" s="438"/>
      <c r="DY10" s="438"/>
      <c r="DZ10" s="438"/>
      <c r="EA10" s="438"/>
      <c r="EB10" s="438"/>
      <c r="EC10" s="438"/>
      <c r="ED10" s="438"/>
      <c r="EE10" s="438"/>
      <c r="EF10" s="438"/>
      <c r="EG10" s="438"/>
      <c r="EH10" s="438"/>
      <c r="EI10" s="438"/>
      <c r="EJ10" s="438"/>
      <c r="EK10" s="438"/>
      <c r="EL10" s="438"/>
      <c r="EM10" s="438"/>
      <c r="EN10" s="438"/>
      <c r="EO10" s="438"/>
      <c r="EP10" s="438"/>
      <c r="EQ10" s="439"/>
    </row>
    <row r="11" spans="2:147" x14ac:dyDescent="0.35">
      <c r="C11" s="413">
        <v>0.91</v>
      </c>
      <c r="D11" s="420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21"/>
      <c r="AG11" s="413">
        <v>0.91</v>
      </c>
      <c r="AH11" s="428"/>
      <c r="AI11" s="414"/>
      <c r="AJ11" s="414"/>
      <c r="AK11" s="414"/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29"/>
      <c r="BK11" s="413">
        <v>0.91</v>
      </c>
      <c r="BL11" s="437"/>
      <c r="BM11" s="438"/>
      <c r="BN11" s="438"/>
      <c r="BO11" s="438"/>
      <c r="BP11" s="438"/>
      <c r="BQ11" s="438"/>
      <c r="BR11" s="438"/>
      <c r="BS11" s="438"/>
      <c r="BT11" s="438"/>
      <c r="BU11" s="438"/>
      <c r="BV11" s="438"/>
      <c r="BW11" s="438"/>
      <c r="BX11" s="438"/>
      <c r="BY11" s="438"/>
      <c r="BZ11" s="438"/>
      <c r="CA11" s="438"/>
      <c r="CB11" s="438"/>
      <c r="CC11" s="438"/>
      <c r="CD11" s="438"/>
      <c r="CE11" s="438"/>
      <c r="CF11" s="438"/>
      <c r="CG11" s="438"/>
      <c r="CH11" s="438"/>
      <c r="CI11" s="439"/>
      <c r="CO11" s="413">
        <v>0.91</v>
      </c>
      <c r="CP11" s="437"/>
      <c r="CQ11" s="438"/>
      <c r="CR11" s="438"/>
      <c r="CS11" s="438"/>
      <c r="CT11" s="438"/>
      <c r="CU11" s="438"/>
      <c r="CV11" s="438"/>
      <c r="CW11" s="438"/>
      <c r="CX11" s="438"/>
      <c r="CY11" s="438"/>
      <c r="CZ11" s="438"/>
      <c r="DA11" s="438"/>
      <c r="DB11" s="438"/>
      <c r="DC11" s="438"/>
      <c r="DD11" s="438"/>
      <c r="DE11" s="438"/>
      <c r="DF11" s="438"/>
      <c r="DG11" s="438"/>
      <c r="DH11" s="438"/>
      <c r="DI11" s="438"/>
      <c r="DJ11" s="438"/>
      <c r="DK11" s="438"/>
      <c r="DL11" s="438"/>
      <c r="DM11" s="439"/>
      <c r="DS11" s="413">
        <v>0.91</v>
      </c>
      <c r="DT11" s="437"/>
      <c r="DU11" s="438"/>
      <c r="DV11" s="438"/>
      <c r="DW11" s="438"/>
      <c r="DX11" s="438"/>
      <c r="DY11" s="438"/>
      <c r="DZ11" s="438"/>
      <c r="EA11" s="438"/>
      <c r="EB11" s="438"/>
      <c r="EC11" s="438"/>
      <c r="ED11" s="438"/>
      <c r="EE11" s="438"/>
      <c r="EF11" s="438"/>
      <c r="EG11" s="438"/>
      <c r="EH11" s="438"/>
      <c r="EI11" s="438"/>
      <c r="EJ11" s="438"/>
      <c r="EK11" s="438"/>
      <c r="EL11" s="438"/>
      <c r="EM11" s="438"/>
      <c r="EN11" s="438"/>
      <c r="EO11" s="438"/>
      <c r="EP11" s="438"/>
      <c r="EQ11" s="439"/>
    </row>
    <row r="12" spans="2:147" x14ac:dyDescent="0.35">
      <c r="C12" s="413">
        <v>0.9</v>
      </c>
      <c r="D12" s="420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21"/>
      <c r="AG12" s="413">
        <v>0.9</v>
      </c>
      <c r="AH12" s="428"/>
      <c r="AI12" s="414"/>
      <c r="AJ12" s="414"/>
      <c r="AK12" s="414"/>
      <c r="AL12" s="414"/>
      <c r="AM12" s="414"/>
      <c r="AN12" s="414"/>
      <c r="AO12" s="414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29"/>
      <c r="BK12" s="413">
        <v>0.9</v>
      </c>
      <c r="BL12" s="437"/>
      <c r="BM12" s="438"/>
      <c r="BN12" s="438"/>
      <c r="BO12" s="438"/>
      <c r="BP12" s="438"/>
      <c r="BQ12" s="438"/>
      <c r="BR12" s="438"/>
      <c r="BS12" s="438"/>
      <c r="BT12" s="438"/>
      <c r="BU12" s="438"/>
      <c r="BV12" s="438"/>
      <c r="BW12" s="438"/>
      <c r="BX12" s="438"/>
      <c r="BY12" s="438"/>
      <c r="BZ12" s="438"/>
      <c r="CA12" s="438"/>
      <c r="CB12" s="438"/>
      <c r="CC12" s="438"/>
      <c r="CD12" s="438"/>
      <c r="CE12" s="438"/>
      <c r="CF12" s="438"/>
      <c r="CG12" s="438"/>
      <c r="CH12" s="438"/>
      <c r="CI12" s="439"/>
      <c r="CO12" s="413">
        <v>0.9</v>
      </c>
      <c r="CP12" s="437"/>
      <c r="CQ12" s="438"/>
      <c r="CR12" s="438"/>
      <c r="CS12" s="438"/>
      <c r="CT12" s="438"/>
      <c r="CU12" s="438"/>
      <c r="CV12" s="438"/>
      <c r="CW12" s="438"/>
      <c r="CX12" s="438"/>
      <c r="CY12" s="438"/>
      <c r="CZ12" s="438"/>
      <c r="DA12" s="438"/>
      <c r="DB12" s="438"/>
      <c r="DC12" s="438"/>
      <c r="DD12" s="438"/>
      <c r="DE12" s="438"/>
      <c r="DF12" s="438"/>
      <c r="DG12" s="438"/>
      <c r="DH12" s="438"/>
      <c r="DI12" s="438"/>
      <c r="DJ12" s="438"/>
      <c r="DK12" s="438"/>
      <c r="DL12" s="438"/>
      <c r="DM12" s="439"/>
      <c r="DS12" s="413">
        <v>0.9</v>
      </c>
      <c r="DT12" s="437"/>
      <c r="DU12" s="438"/>
      <c r="DV12" s="438"/>
      <c r="DW12" s="438"/>
      <c r="DX12" s="438"/>
      <c r="DY12" s="438"/>
      <c r="DZ12" s="438"/>
      <c r="EA12" s="438"/>
      <c r="EB12" s="438"/>
      <c r="EC12" s="438"/>
      <c r="ED12" s="438"/>
      <c r="EE12" s="438"/>
      <c r="EF12" s="438"/>
      <c r="EG12" s="438"/>
      <c r="EH12" s="438"/>
      <c r="EI12" s="438"/>
      <c r="EJ12" s="438"/>
      <c r="EK12" s="438"/>
      <c r="EL12" s="438"/>
      <c r="EM12" s="438"/>
      <c r="EN12" s="438"/>
      <c r="EO12" s="438"/>
      <c r="EP12" s="438"/>
      <c r="EQ12" s="439"/>
    </row>
    <row r="13" spans="2:147" x14ac:dyDescent="0.35">
      <c r="C13" s="413">
        <v>0.89</v>
      </c>
      <c r="D13" s="420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21"/>
      <c r="AG13" s="413">
        <v>0.89</v>
      </c>
      <c r="AH13" s="428"/>
      <c r="AI13" s="414"/>
      <c r="AJ13" s="414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29"/>
      <c r="BK13" s="413">
        <v>0.89</v>
      </c>
      <c r="BL13" s="437"/>
      <c r="BM13" s="438"/>
      <c r="BN13" s="438"/>
      <c r="BO13" s="438"/>
      <c r="BP13" s="438"/>
      <c r="BQ13" s="438"/>
      <c r="BR13" s="438"/>
      <c r="BS13" s="438"/>
      <c r="BT13" s="438"/>
      <c r="BU13" s="438"/>
      <c r="BV13" s="438"/>
      <c r="BW13" s="438"/>
      <c r="BX13" s="438"/>
      <c r="BY13" s="438"/>
      <c r="BZ13" s="438"/>
      <c r="CA13" s="438"/>
      <c r="CB13" s="438"/>
      <c r="CC13" s="438"/>
      <c r="CD13" s="438"/>
      <c r="CE13" s="438"/>
      <c r="CF13" s="438"/>
      <c r="CG13" s="438"/>
      <c r="CH13" s="438"/>
      <c r="CI13" s="439"/>
      <c r="CO13" s="413">
        <v>0.89</v>
      </c>
      <c r="CP13" s="437"/>
      <c r="CQ13" s="438"/>
      <c r="CR13" s="438"/>
      <c r="CS13" s="438"/>
      <c r="CT13" s="438"/>
      <c r="CU13" s="438"/>
      <c r="CV13" s="438"/>
      <c r="CW13" s="438"/>
      <c r="CX13" s="438"/>
      <c r="CY13" s="438"/>
      <c r="CZ13" s="438"/>
      <c r="DA13" s="438"/>
      <c r="DB13" s="438"/>
      <c r="DC13" s="438"/>
      <c r="DD13" s="438"/>
      <c r="DE13" s="438"/>
      <c r="DF13" s="438"/>
      <c r="DG13" s="438"/>
      <c r="DH13" s="438"/>
      <c r="DI13" s="438"/>
      <c r="DJ13" s="438"/>
      <c r="DK13" s="438"/>
      <c r="DL13" s="438"/>
      <c r="DM13" s="439"/>
      <c r="DS13" s="413">
        <v>0.89</v>
      </c>
      <c r="DT13" s="437"/>
      <c r="DU13" s="438"/>
      <c r="DV13" s="438"/>
      <c r="DW13" s="438"/>
      <c r="DX13" s="438"/>
      <c r="DY13" s="438"/>
      <c r="DZ13" s="438"/>
      <c r="EA13" s="438"/>
      <c r="EB13" s="438"/>
      <c r="EC13" s="438"/>
      <c r="ED13" s="438"/>
      <c r="EE13" s="438"/>
      <c r="EF13" s="438"/>
      <c r="EG13" s="438"/>
      <c r="EH13" s="438"/>
      <c r="EI13" s="438"/>
      <c r="EJ13" s="438"/>
      <c r="EK13" s="438"/>
      <c r="EL13" s="438"/>
      <c r="EM13" s="438"/>
      <c r="EN13" s="438"/>
      <c r="EO13" s="438"/>
      <c r="EP13" s="438"/>
      <c r="EQ13" s="439"/>
    </row>
    <row r="14" spans="2:147" x14ac:dyDescent="0.35">
      <c r="C14" s="413">
        <v>0.88</v>
      </c>
      <c r="D14" s="420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21"/>
      <c r="AG14" s="413">
        <v>0.88</v>
      </c>
      <c r="AH14" s="428"/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29"/>
      <c r="BK14" s="413">
        <v>0.88</v>
      </c>
      <c r="BL14" s="437"/>
      <c r="BM14" s="438"/>
      <c r="BN14" s="438"/>
      <c r="BO14" s="438"/>
      <c r="BP14" s="438"/>
      <c r="BQ14" s="438"/>
      <c r="BR14" s="438"/>
      <c r="BS14" s="438"/>
      <c r="BT14" s="438"/>
      <c r="BU14" s="438"/>
      <c r="BV14" s="438"/>
      <c r="BW14" s="438"/>
      <c r="BX14" s="438"/>
      <c r="BY14" s="438"/>
      <c r="BZ14" s="438"/>
      <c r="CA14" s="438"/>
      <c r="CB14" s="438"/>
      <c r="CC14" s="438"/>
      <c r="CD14" s="438"/>
      <c r="CE14" s="438"/>
      <c r="CF14" s="438"/>
      <c r="CG14" s="438"/>
      <c r="CH14" s="438"/>
      <c r="CI14" s="439"/>
      <c r="CO14" s="413">
        <v>0.88</v>
      </c>
      <c r="CP14" s="437"/>
      <c r="CQ14" s="438"/>
      <c r="CR14" s="438"/>
      <c r="CS14" s="438"/>
      <c r="CT14" s="438"/>
      <c r="CU14" s="438"/>
      <c r="CV14" s="438"/>
      <c r="CW14" s="438"/>
      <c r="CX14" s="438"/>
      <c r="CY14" s="438"/>
      <c r="CZ14" s="438"/>
      <c r="DA14" s="438"/>
      <c r="DB14" s="438"/>
      <c r="DC14" s="438"/>
      <c r="DD14" s="438"/>
      <c r="DE14" s="438"/>
      <c r="DF14" s="438"/>
      <c r="DG14" s="438"/>
      <c r="DH14" s="438"/>
      <c r="DI14" s="438"/>
      <c r="DJ14" s="438"/>
      <c r="DK14" s="438"/>
      <c r="DL14" s="438"/>
      <c r="DM14" s="439"/>
      <c r="DS14" s="413">
        <v>0.88</v>
      </c>
      <c r="DT14" s="437"/>
      <c r="DU14" s="438"/>
      <c r="DV14" s="438"/>
      <c r="DW14" s="438"/>
      <c r="DX14" s="438"/>
      <c r="DY14" s="438"/>
      <c r="DZ14" s="438"/>
      <c r="EA14" s="438"/>
      <c r="EB14" s="438"/>
      <c r="EC14" s="438"/>
      <c r="ED14" s="438"/>
      <c r="EE14" s="438"/>
      <c r="EF14" s="438"/>
      <c r="EG14" s="438"/>
      <c r="EH14" s="438"/>
      <c r="EI14" s="438"/>
      <c r="EJ14" s="438"/>
      <c r="EK14" s="438"/>
      <c r="EL14" s="438"/>
      <c r="EM14" s="438"/>
      <c r="EN14" s="438"/>
      <c r="EO14" s="438"/>
      <c r="EP14" s="438"/>
      <c r="EQ14" s="439"/>
    </row>
    <row r="15" spans="2:147" x14ac:dyDescent="0.35">
      <c r="C15" s="413">
        <v>0.87</v>
      </c>
      <c r="D15" s="420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21"/>
      <c r="AG15" s="413">
        <v>0.87</v>
      </c>
      <c r="AH15" s="428"/>
      <c r="AI15" s="414"/>
      <c r="AJ15" s="414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29"/>
      <c r="BK15" s="413">
        <v>0.87</v>
      </c>
      <c r="BL15" s="437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438"/>
      <c r="CD15" s="438"/>
      <c r="CE15" s="438"/>
      <c r="CF15" s="438"/>
      <c r="CG15" s="438"/>
      <c r="CH15" s="438"/>
      <c r="CI15" s="439"/>
      <c r="CO15" s="413">
        <v>0.87</v>
      </c>
      <c r="CP15" s="437"/>
      <c r="CQ15" s="438"/>
      <c r="CR15" s="438"/>
      <c r="CS15" s="438"/>
      <c r="CT15" s="438"/>
      <c r="CU15" s="438"/>
      <c r="CV15" s="438"/>
      <c r="CW15" s="438"/>
      <c r="CX15" s="438"/>
      <c r="CY15" s="438"/>
      <c r="CZ15" s="438"/>
      <c r="DA15" s="438"/>
      <c r="DB15" s="438"/>
      <c r="DC15" s="438"/>
      <c r="DD15" s="438"/>
      <c r="DE15" s="438"/>
      <c r="DF15" s="438"/>
      <c r="DG15" s="438"/>
      <c r="DH15" s="438"/>
      <c r="DI15" s="438"/>
      <c r="DJ15" s="438"/>
      <c r="DK15" s="438"/>
      <c r="DL15" s="438"/>
      <c r="DM15" s="439"/>
      <c r="DS15" s="413">
        <v>0.87</v>
      </c>
      <c r="DT15" s="437"/>
      <c r="DU15" s="438"/>
      <c r="DV15" s="438"/>
      <c r="DW15" s="438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9"/>
    </row>
    <row r="16" spans="2:147" x14ac:dyDescent="0.35">
      <c r="C16" s="413">
        <v>0.86</v>
      </c>
      <c r="D16" s="420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21"/>
      <c r="AG16" s="413">
        <v>0.86</v>
      </c>
      <c r="AH16" s="428"/>
      <c r="AI16" s="414"/>
      <c r="AJ16" s="414"/>
      <c r="AK16" s="414"/>
      <c r="AL16" s="414"/>
      <c r="AM16" s="414"/>
      <c r="AN16" s="414"/>
      <c r="AO16" s="414"/>
      <c r="AP16" s="414"/>
      <c r="AQ16" s="414"/>
      <c r="AR16" s="414"/>
      <c r="AS16" s="414"/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29"/>
      <c r="BK16" s="413">
        <v>0.86</v>
      </c>
      <c r="BL16" s="437"/>
      <c r="BM16" s="438"/>
      <c r="BN16" s="438"/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  <c r="CA16" s="438"/>
      <c r="CB16" s="438"/>
      <c r="CC16" s="438"/>
      <c r="CD16" s="438"/>
      <c r="CE16" s="438"/>
      <c r="CF16" s="438"/>
      <c r="CG16" s="438"/>
      <c r="CH16" s="438"/>
      <c r="CI16" s="439"/>
      <c r="CO16" s="413">
        <v>0.86</v>
      </c>
      <c r="CP16" s="437"/>
      <c r="CQ16" s="438"/>
      <c r="CR16" s="438"/>
      <c r="CS16" s="438"/>
      <c r="CT16" s="438"/>
      <c r="CU16" s="438"/>
      <c r="CV16" s="438"/>
      <c r="CW16" s="438"/>
      <c r="CX16" s="438"/>
      <c r="CY16" s="438"/>
      <c r="CZ16" s="438"/>
      <c r="DA16" s="438"/>
      <c r="DB16" s="438"/>
      <c r="DC16" s="438"/>
      <c r="DD16" s="438"/>
      <c r="DE16" s="438"/>
      <c r="DF16" s="438"/>
      <c r="DG16" s="438"/>
      <c r="DH16" s="438"/>
      <c r="DI16" s="438"/>
      <c r="DJ16" s="438"/>
      <c r="DK16" s="438"/>
      <c r="DL16" s="438"/>
      <c r="DM16" s="439"/>
      <c r="DS16" s="413">
        <v>0.86</v>
      </c>
      <c r="DT16" s="437"/>
      <c r="DU16" s="438"/>
      <c r="DV16" s="438"/>
      <c r="DW16" s="438"/>
      <c r="DX16" s="438"/>
      <c r="DY16" s="438"/>
      <c r="DZ16" s="438"/>
      <c r="EA16" s="438"/>
      <c r="EB16" s="438"/>
      <c r="EC16" s="438"/>
      <c r="ED16" s="438"/>
      <c r="EE16" s="438"/>
      <c r="EF16" s="438"/>
      <c r="EG16" s="438"/>
      <c r="EH16" s="438"/>
      <c r="EI16" s="438"/>
      <c r="EJ16" s="438"/>
      <c r="EK16" s="438"/>
      <c r="EL16" s="438"/>
      <c r="EM16" s="438"/>
      <c r="EN16" s="438"/>
      <c r="EO16" s="438"/>
      <c r="EP16" s="438"/>
      <c r="EQ16" s="439"/>
    </row>
    <row r="17" spans="3:147" x14ac:dyDescent="0.35">
      <c r="C17" s="413">
        <v>0.85</v>
      </c>
      <c r="D17" s="420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21"/>
      <c r="AG17" s="413">
        <v>0.85</v>
      </c>
      <c r="AH17" s="428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414"/>
      <c r="AY17" s="414"/>
      <c r="AZ17" s="414"/>
      <c r="BA17" s="414"/>
      <c r="BB17" s="414"/>
      <c r="BC17" s="414"/>
      <c r="BD17" s="414"/>
      <c r="BE17" s="429"/>
      <c r="BK17" s="413">
        <v>0.85</v>
      </c>
      <c r="BL17" s="437"/>
      <c r="BM17" s="438"/>
      <c r="BN17" s="438"/>
      <c r="BO17" s="438"/>
      <c r="BP17" s="438"/>
      <c r="BQ17" s="438"/>
      <c r="BR17" s="438"/>
      <c r="BS17" s="438"/>
      <c r="BT17" s="438"/>
      <c r="BU17" s="438"/>
      <c r="BV17" s="438"/>
      <c r="BW17" s="438"/>
      <c r="BX17" s="438"/>
      <c r="BY17" s="438"/>
      <c r="BZ17" s="438"/>
      <c r="CA17" s="438"/>
      <c r="CB17" s="438"/>
      <c r="CC17" s="438"/>
      <c r="CD17" s="438"/>
      <c r="CE17" s="438"/>
      <c r="CF17" s="438"/>
      <c r="CG17" s="438"/>
      <c r="CH17" s="438"/>
      <c r="CI17" s="439"/>
      <c r="CO17" s="413">
        <v>0.85</v>
      </c>
      <c r="CP17" s="437"/>
      <c r="CQ17" s="438"/>
      <c r="CR17" s="438"/>
      <c r="CS17" s="438"/>
      <c r="CT17" s="438"/>
      <c r="CU17" s="438"/>
      <c r="CV17" s="438"/>
      <c r="CW17" s="438"/>
      <c r="CX17" s="438"/>
      <c r="CY17" s="438"/>
      <c r="CZ17" s="438"/>
      <c r="DA17" s="438"/>
      <c r="DB17" s="438"/>
      <c r="DC17" s="438"/>
      <c r="DD17" s="438"/>
      <c r="DE17" s="438"/>
      <c r="DF17" s="438"/>
      <c r="DG17" s="438"/>
      <c r="DH17" s="438"/>
      <c r="DI17" s="438"/>
      <c r="DJ17" s="438"/>
      <c r="DK17" s="438"/>
      <c r="DL17" s="438"/>
      <c r="DM17" s="439"/>
      <c r="DS17" s="413">
        <v>0.85</v>
      </c>
      <c r="DT17" s="437"/>
      <c r="DU17" s="438"/>
      <c r="DV17" s="438"/>
      <c r="DW17" s="438"/>
      <c r="DX17" s="438"/>
      <c r="DY17" s="438"/>
      <c r="DZ17" s="438"/>
      <c r="EA17" s="438"/>
      <c r="EB17" s="438"/>
      <c r="EC17" s="438"/>
      <c r="ED17" s="438"/>
      <c r="EE17" s="438"/>
      <c r="EF17" s="438"/>
      <c r="EG17" s="438"/>
      <c r="EH17" s="438"/>
      <c r="EI17" s="438"/>
      <c r="EJ17" s="438"/>
      <c r="EK17" s="438"/>
      <c r="EL17" s="438"/>
      <c r="EM17" s="438"/>
      <c r="EN17" s="438"/>
      <c r="EO17" s="438"/>
      <c r="EP17" s="438"/>
      <c r="EQ17" s="439"/>
    </row>
    <row r="18" spans="3:147" x14ac:dyDescent="0.35">
      <c r="C18" s="413">
        <v>0.84</v>
      </c>
      <c r="D18" s="420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21"/>
      <c r="AG18" s="413">
        <v>0.84</v>
      </c>
      <c r="AH18" s="428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29"/>
      <c r="BK18" s="413">
        <v>0.84</v>
      </c>
      <c r="BL18" s="437"/>
      <c r="BM18" s="438"/>
      <c r="BN18" s="438"/>
      <c r="BO18" s="438"/>
      <c r="BP18" s="438"/>
      <c r="BQ18" s="438"/>
      <c r="BR18" s="438"/>
      <c r="BS18" s="438"/>
      <c r="BT18" s="438"/>
      <c r="BU18" s="438"/>
      <c r="BV18" s="438"/>
      <c r="BW18" s="438"/>
      <c r="BX18" s="438"/>
      <c r="BY18" s="438"/>
      <c r="BZ18" s="438"/>
      <c r="CA18" s="438"/>
      <c r="CB18" s="438"/>
      <c r="CC18" s="438"/>
      <c r="CD18" s="438"/>
      <c r="CE18" s="438"/>
      <c r="CF18" s="438"/>
      <c r="CG18" s="438"/>
      <c r="CH18" s="438"/>
      <c r="CI18" s="439"/>
      <c r="CO18" s="413">
        <v>0.84</v>
      </c>
      <c r="CP18" s="437"/>
      <c r="CQ18" s="438"/>
      <c r="CR18" s="438"/>
      <c r="CS18" s="438"/>
      <c r="CT18" s="438"/>
      <c r="CU18" s="438"/>
      <c r="CV18" s="438"/>
      <c r="CW18" s="438"/>
      <c r="CX18" s="438"/>
      <c r="CY18" s="438"/>
      <c r="CZ18" s="438"/>
      <c r="DA18" s="438"/>
      <c r="DB18" s="438"/>
      <c r="DC18" s="438"/>
      <c r="DD18" s="438"/>
      <c r="DE18" s="438"/>
      <c r="DF18" s="438"/>
      <c r="DG18" s="438"/>
      <c r="DH18" s="438"/>
      <c r="DI18" s="438"/>
      <c r="DJ18" s="438"/>
      <c r="DK18" s="438"/>
      <c r="DL18" s="438"/>
      <c r="DM18" s="439"/>
      <c r="DS18" s="413">
        <v>0.84</v>
      </c>
      <c r="DT18" s="437"/>
      <c r="DU18" s="438"/>
      <c r="DV18" s="438"/>
      <c r="DW18" s="438"/>
      <c r="DX18" s="438"/>
      <c r="DY18" s="438"/>
      <c r="DZ18" s="438"/>
      <c r="EA18" s="438"/>
      <c r="EB18" s="438"/>
      <c r="EC18" s="438"/>
      <c r="ED18" s="438"/>
      <c r="EE18" s="438"/>
      <c r="EF18" s="438"/>
      <c r="EG18" s="438"/>
      <c r="EH18" s="438"/>
      <c r="EI18" s="438"/>
      <c r="EJ18" s="438"/>
      <c r="EK18" s="438"/>
      <c r="EL18" s="438"/>
      <c r="EM18" s="438"/>
      <c r="EN18" s="438"/>
      <c r="EO18" s="438"/>
      <c r="EP18" s="438"/>
      <c r="EQ18" s="439"/>
    </row>
    <row r="19" spans="3:147" x14ac:dyDescent="0.35">
      <c r="C19" s="413">
        <v>0.83</v>
      </c>
      <c r="D19" s="420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21"/>
      <c r="AG19" s="413">
        <v>0.83</v>
      </c>
      <c r="AH19" s="428"/>
      <c r="AI19" s="414"/>
      <c r="AJ19" s="414"/>
      <c r="AK19" s="414"/>
      <c r="AL19" s="414"/>
      <c r="AM19" s="414"/>
      <c r="AN19" s="414"/>
      <c r="AO19" s="414"/>
      <c r="AP19" s="414"/>
      <c r="AQ19" s="414"/>
      <c r="AR19" s="414"/>
      <c r="AS19" s="414"/>
      <c r="AT19" s="414"/>
      <c r="AU19" s="414"/>
      <c r="AV19" s="414"/>
      <c r="AW19" s="414"/>
      <c r="AX19" s="414"/>
      <c r="AY19" s="414"/>
      <c r="AZ19" s="414"/>
      <c r="BA19" s="414"/>
      <c r="BB19" s="414"/>
      <c r="BC19" s="414"/>
      <c r="BD19" s="414"/>
      <c r="BE19" s="429"/>
      <c r="BK19" s="413">
        <v>0.83</v>
      </c>
      <c r="BL19" s="437"/>
      <c r="BM19" s="438"/>
      <c r="BN19" s="438"/>
      <c r="BO19" s="438"/>
      <c r="BP19" s="438"/>
      <c r="BQ19" s="438"/>
      <c r="BR19" s="438"/>
      <c r="BS19" s="438"/>
      <c r="BT19" s="438"/>
      <c r="BU19" s="438"/>
      <c r="BV19" s="438"/>
      <c r="BW19" s="438"/>
      <c r="BX19" s="438"/>
      <c r="BY19" s="438"/>
      <c r="BZ19" s="438"/>
      <c r="CA19" s="438"/>
      <c r="CB19" s="438"/>
      <c r="CC19" s="438"/>
      <c r="CD19" s="438"/>
      <c r="CE19" s="438"/>
      <c r="CF19" s="438"/>
      <c r="CG19" s="438"/>
      <c r="CH19" s="438"/>
      <c r="CI19" s="439"/>
      <c r="CO19" s="413">
        <v>0.83</v>
      </c>
      <c r="CP19" s="437"/>
      <c r="CQ19" s="438"/>
      <c r="CR19" s="438"/>
      <c r="CS19" s="438"/>
      <c r="CT19" s="438"/>
      <c r="CU19" s="438"/>
      <c r="CV19" s="438"/>
      <c r="CW19" s="438"/>
      <c r="CX19" s="438"/>
      <c r="CY19" s="438"/>
      <c r="CZ19" s="438"/>
      <c r="DA19" s="438"/>
      <c r="DB19" s="438"/>
      <c r="DC19" s="438"/>
      <c r="DD19" s="438"/>
      <c r="DE19" s="438"/>
      <c r="DF19" s="438"/>
      <c r="DG19" s="438"/>
      <c r="DH19" s="438"/>
      <c r="DI19" s="438"/>
      <c r="DJ19" s="438"/>
      <c r="DK19" s="438"/>
      <c r="DL19" s="438"/>
      <c r="DM19" s="439"/>
      <c r="DS19" s="413">
        <v>0.83</v>
      </c>
      <c r="DT19" s="437"/>
      <c r="DU19" s="438"/>
      <c r="DV19" s="438"/>
      <c r="DW19" s="438"/>
      <c r="DX19" s="438"/>
      <c r="DY19" s="438"/>
      <c r="DZ19" s="438"/>
      <c r="EA19" s="438"/>
      <c r="EB19" s="438"/>
      <c r="EC19" s="438"/>
      <c r="ED19" s="438"/>
      <c r="EE19" s="438"/>
      <c r="EF19" s="438"/>
      <c r="EG19" s="438"/>
      <c r="EH19" s="438"/>
      <c r="EI19" s="438"/>
      <c r="EJ19" s="438"/>
      <c r="EK19" s="438"/>
      <c r="EL19" s="438"/>
      <c r="EM19" s="438"/>
      <c r="EN19" s="438"/>
      <c r="EO19" s="438"/>
      <c r="EP19" s="438"/>
      <c r="EQ19" s="439"/>
    </row>
    <row r="20" spans="3:147" x14ac:dyDescent="0.35">
      <c r="C20" s="413">
        <v>0.82</v>
      </c>
      <c r="D20" s="420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21"/>
      <c r="AG20" s="413">
        <v>0.82</v>
      </c>
      <c r="AH20" s="428"/>
      <c r="AI20" s="414"/>
      <c r="AJ20" s="414"/>
      <c r="AK20" s="414"/>
      <c r="AL20" s="414"/>
      <c r="AM20" s="414"/>
      <c r="AN20" s="414"/>
      <c r="AO20" s="414"/>
      <c r="AP20" s="414"/>
      <c r="AQ20" s="414"/>
      <c r="AR20" s="414"/>
      <c r="AS20" s="414"/>
      <c r="AT20" s="414"/>
      <c r="AU20" s="414"/>
      <c r="AV20" s="414"/>
      <c r="AW20" s="414"/>
      <c r="AX20" s="414"/>
      <c r="AY20" s="414"/>
      <c r="AZ20" s="414"/>
      <c r="BA20" s="414"/>
      <c r="BB20" s="414"/>
      <c r="BC20" s="414"/>
      <c r="BD20" s="414"/>
      <c r="BE20" s="429"/>
      <c r="BK20" s="413">
        <v>0.82</v>
      </c>
      <c r="BL20" s="437"/>
      <c r="BM20" s="438"/>
      <c r="BN20" s="438"/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G20" s="438"/>
      <c r="CH20" s="438"/>
      <c r="CI20" s="439"/>
      <c r="CO20" s="413">
        <v>0.82</v>
      </c>
      <c r="CP20" s="437"/>
      <c r="CQ20" s="438"/>
      <c r="CR20" s="438"/>
      <c r="CS20" s="438"/>
      <c r="CT20" s="438"/>
      <c r="CU20" s="438"/>
      <c r="CV20" s="438"/>
      <c r="CW20" s="438"/>
      <c r="CX20" s="438"/>
      <c r="CY20" s="438"/>
      <c r="CZ20" s="438"/>
      <c r="DA20" s="438"/>
      <c r="DB20" s="438"/>
      <c r="DC20" s="438"/>
      <c r="DD20" s="438"/>
      <c r="DE20" s="438"/>
      <c r="DF20" s="438"/>
      <c r="DG20" s="438"/>
      <c r="DH20" s="438"/>
      <c r="DI20" s="438"/>
      <c r="DJ20" s="438"/>
      <c r="DK20" s="438"/>
      <c r="DL20" s="438"/>
      <c r="DM20" s="439"/>
      <c r="DS20" s="413">
        <v>0.82</v>
      </c>
      <c r="DT20" s="437"/>
      <c r="DU20" s="438"/>
      <c r="DV20" s="438"/>
      <c r="DW20" s="438"/>
      <c r="DX20" s="438"/>
      <c r="DY20" s="438"/>
      <c r="DZ20" s="438"/>
      <c r="EA20" s="438"/>
      <c r="EB20" s="438"/>
      <c r="EC20" s="438"/>
      <c r="ED20" s="438"/>
      <c r="EE20" s="438"/>
      <c r="EF20" s="438"/>
      <c r="EG20" s="438"/>
      <c r="EH20" s="438"/>
      <c r="EI20" s="438"/>
      <c r="EJ20" s="438"/>
      <c r="EK20" s="438"/>
      <c r="EL20" s="438"/>
      <c r="EM20" s="438"/>
      <c r="EN20" s="438"/>
      <c r="EO20" s="438"/>
      <c r="EP20" s="438"/>
      <c r="EQ20" s="439"/>
    </row>
    <row r="21" spans="3:147" x14ac:dyDescent="0.35">
      <c r="C21" s="413">
        <v>0.81</v>
      </c>
      <c r="D21" s="420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21"/>
      <c r="AG21" s="413">
        <v>0.81</v>
      </c>
      <c r="AH21" s="428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29"/>
      <c r="BK21" s="413">
        <v>0.81</v>
      </c>
      <c r="BL21" s="437"/>
      <c r="BM21" s="438"/>
      <c r="BN21" s="438"/>
      <c r="BO21" s="438"/>
      <c r="BP21" s="438"/>
      <c r="BQ21" s="438"/>
      <c r="BR21" s="438"/>
      <c r="BS21" s="438"/>
      <c r="BT21" s="438"/>
      <c r="BU21" s="438"/>
      <c r="BV21" s="438"/>
      <c r="BW21" s="438"/>
      <c r="BX21" s="438"/>
      <c r="BY21" s="438"/>
      <c r="BZ21" s="438"/>
      <c r="CA21" s="438"/>
      <c r="CB21" s="438"/>
      <c r="CC21" s="438"/>
      <c r="CD21" s="438"/>
      <c r="CE21" s="438"/>
      <c r="CF21" s="438"/>
      <c r="CG21" s="438"/>
      <c r="CH21" s="438"/>
      <c r="CI21" s="439"/>
      <c r="CO21" s="413">
        <v>0.81</v>
      </c>
      <c r="CP21" s="437"/>
      <c r="CQ21" s="438"/>
      <c r="CR21" s="438"/>
      <c r="CS21" s="438"/>
      <c r="CT21" s="438"/>
      <c r="CU21" s="438"/>
      <c r="CV21" s="438"/>
      <c r="CW21" s="438"/>
      <c r="CX21" s="438"/>
      <c r="CY21" s="438"/>
      <c r="CZ21" s="438"/>
      <c r="DA21" s="438"/>
      <c r="DB21" s="438"/>
      <c r="DC21" s="438"/>
      <c r="DD21" s="438"/>
      <c r="DE21" s="438"/>
      <c r="DF21" s="438"/>
      <c r="DG21" s="438"/>
      <c r="DH21" s="438"/>
      <c r="DI21" s="438"/>
      <c r="DJ21" s="438"/>
      <c r="DK21" s="438"/>
      <c r="DL21" s="438"/>
      <c r="DM21" s="439"/>
      <c r="DS21" s="413">
        <v>0.81</v>
      </c>
      <c r="DT21" s="437"/>
      <c r="DU21" s="438"/>
      <c r="DV21" s="438"/>
      <c r="DW21" s="438"/>
      <c r="DX21" s="438"/>
      <c r="DY21" s="438"/>
      <c r="DZ21" s="438"/>
      <c r="EA21" s="438"/>
      <c r="EB21" s="438"/>
      <c r="EC21" s="438"/>
      <c r="ED21" s="438"/>
      <c r="EE21" s="438"/>
      <c r="EF21" s="438"/>
      <c r="EG21" s="438"/>
      <c r="EH21" s="438"/>
      <c r="EI21" s="438"/>
      <c r="EJ21" s="438"/>
      <c r="EK21" s="438"/>
      <c r="EL21" s="438"/>
      <c r="EM21" s="438"/>
      <c r="EN21" s="438"/>
      <c r="EO21" s="438"/>
      <c r="EP21" s="438"/>
      <c r="EQ21" s="439"/>
    </row>
    <row r="22" spans="3:147" x14ac:dyDescent="0.35">
      <c r="C22" s="413">
        <v>0.8</v>
      </c>
      <c r="D22" s="420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21"/>
      <c r="AG22" s="413">
        <v>0.8</v>
      </c>
      <c r="AH22" s="428"/>
      <c r="AI22" s="414"/>
      <c r="AJ22" s="414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  <c r="BB22" s="414"/>
      <c r="BC22" s="414"/>
      <c r="BD22" s="414"/>
      <c r="BE22" s="429"/>
      <c r="BK22" s="413">
        <v>0.8</v>
      </c>
      <c r="BL22" s="437"/>
      <c r="BM22" s="438"/>
      <c r="BN22" s="438"/>
      <c r="BO22" s="438"/>
      <c r="BP22" s="438"/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  <c r="CA22" s="438"/>
      <c r="CB22" s="438"/>
      <c r="CC22" s="438"/>
      <c r="CD22" s="438"/>
      <c r="CE22" s="438"/>
      <c r="CF22" s="438"/>
      <c r="CG22" s="438"/>
      <c r="CH22" s="438"/>
      <c r="CI22" s="439"/>
      <c r="CO22" s="413">
        <v>0.8</v>
      </c>
      <c r="CP22" s="437"/>
      <c r="CQ22" s="438"/>
      <c r="CR22" s="438"/>
      <c r="CS22" s="438"/>
      <c r="CT22" s="438"/>
      <c r="CU22" s="438"/>
      <c r="CV22" s="438"/>
      <c r="CW22" s="438"/>
      <c r="CX22" s="438"/>
      <c r="CY22" s="438"/>
      <c r="CZ22" s="438"/>
      <c r="DA22" s="438"/>
      <c r="DB22" s="438"/>
      <c r="DC22" s="438"/>
      <c r="DD22" s="438"/>
      <c r="DE22" s="438"/>
      <c r="DF22" s="438"/>
      <c r="DG22" s="438"/>
      <c r="DH22" s="438"/>
      <c r="DI22" s="438"/>
      <c r="DJ22" s="438"/>
      <c r="DK22" s="438"/>
      <c r="DL22" s="438"/>
      <c r="DM22" s="439"/>
      <c r="DS22" s="413">
        <v>0.8</v>
      </c>
      <c r="DT22" s="437"/>
      <c r="DU22" s="438"/>
      <c r="DV22" s="438"/>
      <c r="DW22" s="438"/>
      <c r="DX22" s="438"/>
      <c r="DY22" s="438"/>
      <c r="DZ22" s="438"/>
      <c r="EA22" s="438"/>
      <c r="EB22" s="438"/>
      <c r="EC22" s="438"/>
      <c r="ED22" s="438"/>
      <c r="EE22" s="438"/>
      <c r="EF22" s="438"/>
      <c r="EG22" s="438"/>
      <c r="EH22" s="438"/>
      <c r="EI22" s="438"/>
      <c r="EJ22" s="438"/>
      <c r="EK22" s="438"/>
      <c r="EL22" s="438"/>
      <c r="EM22" s="438"/>
      <c r="EN22" s="438"/>
      <c r="EO22" s="438"/>
      <c r="EP22" s="438"/>
      <c r="EQ22" s="439"/>
    </row>
    <row r="23" spans="3:147" x14ac:dyDescent="0.35">
      <c r="C23" s="413">
        <v>0.79</v>
      </c>
      <c r="D23" s="420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21"/>
      <c r="AG23" s="413">
        <v>0.79</v>
      </c>
      <c r="AH23" s="428"/>
      <c r="AI23" s="414"/>
      <c r="AJ23" s="414"/>
      <c r="AK23" s="414"/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29"/>
      <c r="BK23" s="413">
        <v>0.79</v>
      </c>
      <c r="BL23" s="437"/>
      <c r="BM23" s="438"/>
      <c r="BN23" s="438"/>
      <c r="BO23" s="438"/>
      <c r="BP23" s="438"/>
      <c r="BQ23" s="438"/>
      <c r="BR23" s="438"/>
      <c r="BS23" s="438"/>
      <c r="BT23" s="438"/>
      <c r="BU23" s="438"/>
      <c r="BV23" s="438"/>
      <c r="BW23" s="438"/>
      <c r="BX23" s="438"/>
      <c r="BY23" s="438"/>
      <c r="BZ23" s="438"/>
      <c r="CA23" s="438"/>
      <c r="CB23" s="438"/>
      <c r="CC23" s="438"/>
      <c r="CD23" s="438"/>
      <c r="CE23" s="438"/>
      <c r="CF23" s="438"/>
      <c r="CG23" s="438"/>
      <c r="CH23" s="438"/>
      <c r="CI23" s="439"/>
      <c r="CO23" s="413">
        <v>0.79</v>
      </c>
      <c r="CP23" s="437"/>
      <c r="CQ23" s="438"/>
      <c r="CR23" s="438"/>
      <c r="CS23" s="438"/>
      <c r="CT23" s="438"/>
      <c r="CU23" s="438"/>
      <c r="CV23" s="438"/>
      <c r="CW23" s="438"/>
      <c r="CX23" s="438"/>
      <c r="CY23" s="438"/>
      <c r="CZ23" s="438"/>
      <c r="DA23" s="438"/>
      <c r="DB23" s="438"/>
      <c r="DC23" s="438"/>
      <c r="DD23" s="438"/>
      <c r="DE23" s="438"/>
      <c r="DF23" s="438"/>
      <c r="DG23" s="438"/>
      <c r="DH23" s="438"/>
      <c r="DI23" s="438"/>
      <c r="DJ23" s="438"/>
      <c r="DK23" s="438"/>
      <c r="DL23" s="438"/>
      <c r="DM23" s="439"/>
      <c r="DS23" s="413">
        <v>0.79</v>
      </c>
      <c r="DT23" s="437"/>
      <c r="DU23" s="438"/>
      <c r="DV23" s="438"/>
      <c r="DW23" s="438"/>
      <c r="DX23" s="438"/>
      <c r="DY23" s="438"/>
      <c r="DZ23" s="438"/>
      <c r="EA23" s="438"/>
      <c r="EB23" s="438"/>
      <c r="EC23" s="438"/>
      <c r="ED23" s="438"/>
      <c r="EE23" s="438"/>
      <c r="EF23" s="438"/>
      <c r="EG23" s="438"/>
      <c r="EH23" s="438"/>
      <c r="EI23" s="438"/>
      <c r="EJ23" s="438"/>
      <c r="EK23" s="438"/>
      <c r="EL23" s="438"/>
      <c r="EM23" s="438"/>
      <c r="EN23" s="438"/>
      <c r="EO23" s="438"/>
      <c r="EP23" s="438"/>
      <c r="EQ23" s="439"/>
    </row>
    <row r="24" spans="3:147" x14ac:dyDescent="0.35">
      <c r="C24" s="413">
        <v>0.78</v>
      </c>
      <c r="D24" s="420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21"/>
      <c r="AG24" s="413">
        <v>0.78</v>
      </c>
      <c r="AH24" s="428"/>
      <c r="AI24" s="414"/>
      <c r="AJ24" s="414"/>
      <c r="AK24" s="414"/>
      <c r="AL24" s="414"/>
      <c r="AM24" s="414"/>
      <c r="AN24" s="414"/>
      <c r="AO24" s="414"/>
      <c r="AP24" s="414"/>
      <c r="AQ24" s="414"/>
      <c r="AR24" s="414"/>
      <c r="AS24" s="414"/>
      <c r="AT24" s="414"/>
      <c r="AU24" s="414"/>
      <c r="AV24" s="414"/>
      <c r="AW24" s="414"/>
      <c r="AX24" s="414"/>
      <c r="AY24" s="414"/>
      <c r="AZ24" s="414"/>
      <c r="BA24" s="414"/>
      <c r="BB24" s="414"/>
      <c r="BC24" s="414"/>
      <c r="BD24" s="414"/>
      <c r="BE24" s="429"/>
      <c r="BK24" s="413">
        <v>0.78</v>
      </c>
      <c r="BL24" s="437"/>
      <c r="BM24" s="438"/>
      <c r="BN24" s="438"/>
      <c r="BO24" s="438"/>
      <c r="BP24" s="438"/>
      <c r="BQ24" s="438"/>
      <c r="BR24" s="438"/>
      <c r="BS24" s="438"/>
      <c r="BT24" s="438"/>
      <c r="BU24" s="438"/>
      <c r="BV24" s="438"/>
      <c r="BW24" s="438"/>
      <c r="BX24" s="438"/>
      <c r="BY24" s="438"/>
      <c r="BZ24" s="438"/>
      <c r="CA24" s="438"/>
      <c r="CB24" s="438"/>
      <c r="CC24" s="438"/>
      <c r="CD24" s="438"/>
      <c r="CE24" s="438"/>
      <c r="CF24" s="438"/>
      <c r="CG24" s="438"/>
      <c r="CH24" s="438"/>
      <c r="CI24" s="439"/>
      <c r="CO24" s="413">
        <v>0.78</v>
      </c>
      <c r="CP24" s="437"/>
      <c r="CQ24" s="438"/>
      <c r="CR24" s="438"/>
      <c r="CS24" s="438"/>
      <c r="CT24" s="438"/>
      <c r="CU24" s="438"/>
      <c r="CV24" s="438"/>
      <c r="CW24" s="438"/>
      <c r="CX24" s="438"/>
      <c r="CY24" s="438"/>
      <c r="CZ24" s="438"/>
      <c r="DA24" s="438"/>
      <c r="DB24" s="438"/>
      <c r="DC24" s="438"/>
      <c r="DD24" s="438"/>
      <c r="DE24" s="438"/>
      <c r="DF24" s="438"/>
      <c r="DG24" s="438"/>
      <c r="DH24" s="438"/>
      <c r="DI24" s="438"/>
      <c r="DJ24" s="438"/>
      <c r="DK24" s="438"/>
      <c r="DL24" s="438"/>
      <c r="DM24" s="439"/>
      <c r="DS24" s="413">
        <v>0.78</v>
      </c>
      <c r="DT24" s="437"/>
      <c r="DU24" s="438"/>
      <c r="DV24" s="438"/>
      <c r="DW24" s="438"/>
      <c r="DX24" s="438"/>
      <c r="DY24" s="438"/>
      <c r="DZ24" s="438"/>
      <c r="EA24" s="438"/>
      <c r="EB24" s="438"/>
      <c r="EC24" s="438"/>
      <c r="ED24" s="438"/>
      <c r="EE24" s="438"/>
      <c r="EF24" s="438"/>
      <c r="EG24" s="438"/>
      <c r="EH24" s="438"/>
      <c r="EI24" s="438"/>
      <c r="EJ24" s="438"/>
      <c r="EK24" s="438"/>
      <c r="EL24" s="438"/>
      <c r="EM24" s="438"/>
      <c r="EN24" s="438"/>
      <c r="EO24" s="438"/>
      <c r="EP24" s="438"/>
      <c r="EQ24" s="439"/>
    </row>
    <row r="25" spans="3:147" x14ac:dyDescent="0.35">
      <c r="C25" s="413">
        <v>0.77</v>
      </c>
      <c r="D25" s="420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21"/>
      <c r="AG25" s="413">
        <v>0.77</v>
      </c>
      <c r="AH25" s="428"/>
      <c r="AI25" s="414"/>
      <c r="AJ25" s="414"/>
      <c r="AK25" s="414"/>
      <c r="AL25" s="414"/>
      <c r="AM25" s="414"/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29"/>
      <c r="BK25" s="413">
        <v>0.77</v>
      </c>
      <c r="BL25" s="437"/>
      <c r="BM25" s="438"/>
      <c r="BN25" s="438"/>
      <c r="BO25" s="438"/>
      <c r="BP25" s="438"/>
      <c r="BQ25" s="438"/>
      <c r="BR25" s="438"/>
      <c r="BS25" s="438"/>
      <c r="BT25" s="438"/>
      <c r="BU25" s="438"/>
      <c r="BV25" s="438"/>
      <c r="BW25" s="438"/>
      <c r="BX25" s="438"/>
      <c r="BY25" s="438"/>
      <c r="BZ25" s="438"/>
      <c r="CA25" s="438"/>
      <c r="CB25" s="438"/>
      <c r="CC25" s="438"/>
      <c r="CD25" s="438"/>
      <c r="CE25" s="438"/>
      <c r="CF25" s="438"/>
      <c r="CG25" s="438"/>
      <c r="CH25" s="438"/>
      <c r="CI25" s="439"/>
      <c r="CO25" s="413">
        <v>0.77</v>
      </c>
      <c r="CP25" s="437"/>
      <c r="CQ25" s="438"/>
      <c r="CR25" s="438"/>
      <c r="CS25" s="438"/>
      <c r="CT25" s="438"/>
      <c r="CU25" s="438"/>
      <c r="CV25" s="438"/>
      <c r="CW25" s="438"/>
      <c r="CX25" s="438"/>
      <c r="CY25" s="438"/>
      <c r="CZ25" s="438"/>
      <c r="DA25" s="438"/>
      <c r="DB25" s="438"/>
      <c r="DC25" s="438"/>
      <c r="DD25" s="438"/>
      <c r="DE25" s="438"/>
      <c r="DF25" s="438"/>
      <c r="DG25" s="438"/>
      <c r="DH25" s="438"/>
      <c r="DI25" s="438"/>
      <c r="DJ25" s="438"/>
      <c r="DK25" s="438"/>
      <c r="DL25" s="438"/>
      <c r="DM25" s="439"/>
      <c r="DS25" s="413">
        <v>0.77</v>
      </c>
      <c r="DT25" s="437"/>
      <c r="DU25" s="438"/>
      <c r="DV25" s="438"/>
      <c r="DW25" s="438"/>
      <c r="DX25" s="438"/>
      <c r="DY25" s="438"/>
      <c r="DZ25" s="438"/>
      <c r="EA25" s="438"/>
      <c r="EB25" s="438"/>
      <c r="EC25" s="438"/>
      <c r="ED25" s="438"/>
      <c r="EE25" s="438"/>
      <c r="EF25" s="438"/>
      <c r="EG25" s="438"/>
      <c r="EH25" s="438"/>
      <c r="EI25" s="438"/>
      <c r="EJ25" s="438"/>
      <c r="EK25" s="438"/>
      <c r="EL25" s="438"/>
      <c r="EM25" s="438"/>
      <c r="EN25" s="438"/>
      <c r="EO25" s="438"/>
      <c r="EP25" s="438"/>
      <c r="EQ25" s="439"/>
    </row>
    <row r="26" spans="3:147" x14ac:dyDescent="0.35">
      <c r="C26" s="413">
        <v>0.76</v>
      </c>
      <c r="D26" s="420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21"/>
      <c r="AG26" s="413">
        <v>0.76</v>
      </c>
      <c r="AH26" s="428"/>
      <c r="AI26" s="414"/>
      <c r="AJ26" s="414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29"/>
      <c r="BK26" s="413">
        <v>0.76</v>
      </c>
      <c r="BL26" s="437"/>
      <c r="BM26" s="438"/>
      <c r="BN26" s="438"/>
      <c r="BO26" s="438"/>
      <c r="BP26" s="438"/>
      <c r="BQ26" s="438"/>
      <c r="BR26" s="438"/>
      <c r="BS26" s="438"/>
      <c r="BT26" s="438"/>
      <c r="BU26" s="438"/>
      <c r="BV26" s="438"/>
      <c r="BW26" s="438"/>
      <c r="BX26" s="438"/>
      <c r="BY26" s="438"/>
      <c r="BZ26" s="438"/>
      <c r="CA26" s="438"/>
      <c r="CB26" s="438"/>
      <c r="CC26" s="438"/>
      <c r="CD26" s="438"/>
      <c r="CE26" s="438"/>
      <c r="CF26" s="438"/>
      <c r="CG26" s="438"/>
      <c r="CH26" s="438"/>
      <c r="CI26" s="439"/>
      <c r="CO26" s="413">
        <v>0.76</v>
      </c>
      <c r="CP26" s="437"/>
      <c r="CQ26" s="438"/>
      <c r="CR26" s="438"/>
      <c r="CS26" s="438"/>
      <c r="CT26" s="438"/>
      <c r="CU26" s="438"/>
      <c r="CV26" s="438"/>
      <c r="CW26" s="438"/>
      <c r="CX26" s="438"/>
      <c r="CY26" s="438"/>
      <c r="CZ26" s="438"/>
      <c r="DA26" s="438"/>
      <c r="DB26" s="438"/>
      <c r="DC26" s="438"/>
      <c r="DD26" s="438"/>
      <c r="DE26" s="438"/>
      <c r="DF26" s="438"/>
      <c r="DG26" s="438"/>
      <c r="DH26" s="438"/>
      <c r="DI26" s="438"/>
      <c r="DJ26" s="438"/>
      <c r="DK26" s="438"/>
      <c r="DL26" s="438"/>
      <c r="DM26" s="439"/>
      <c r="DS26" s="413">
        <v>0.76</v>
      </c>
      <c r="DT26" s="437"/>
      <c r="DU26" s="438"/>
      <c r="DV26" s="438"/>
      <c r="DW26" s="438"/>
      <c r="DX26" s="438"/>
      <c r="DY26" s="438"/>
      <c r="DZ26" s="438"/>
      <c r="EA26" s="438"/>
      <c r="EB26" s="438"/>
      <c r="EC26" s="438"/>
      <c r="ED26" s="438"/>
      <c r="EE26" s="438"/>
      <c r="EF26" s="438"/>
      <c r="EG26" s="438"/>
      <c r="EH26" s="438"/>
      <c r="EI26" s="438"/>
      <c r="EJ26" s="438"/>
      <c r="EK26" s="438"/>
      <c r="EL26" s="438"/>
      <c r="EM26" s="438"/>
      <c r="EN26" s="438"/>
      <c r="EO26" s="438"/>
      <c r="EP26" s="438"/>
      <c r="EQ26" s="439"/>
    </row>
    <row r="27" spans="3:147" x14ac:dyDescent="0.35">
      <c r="C27" s="413">
        <v>0.75</v>
      </c>
      <c r="D27" s="420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21"/>
      <c r="AG27" s="413">
        <v>0.75</v>
      </c>
      <c r="AH27" s="428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29"/>
      <c r="BK27" s="413">
        <v>0.75</v>
      </c>
      <c r="BL27" s="437"/>
      <c r="BM27" s="438"/>
      <c r="BN27" s="438"/>
      <c r="BO27" s="438"/>
      <c r="BP27" s="438"/>
      <c r="BQ27" s="438"/>
      <c r="BR27" s="438"/>
      <c r="BS27" s="438"/>
      <c r="BT27" s="438"/>
      <c r="BU27" s="438"/>
      <c r="BV27" s="438"/>
      <c r="BW27" s="438"/>
      <c r="BX27" s="438"/>
      <c r="BY27" s="438"/>
      <c r="BZ27" s="438"/>
      <c r="CA27" s="438"/>
      <c r="CB27" s="438"/>
      <c r="CC27" s="438"/>
      <c r="CD27" s="438"/>
      <c r="CE27" s="438"/>
      <c r="CF27" s="438"/>
      <c r="CG27" s="438"/>
      <c r="CH27" s="438"/>
      <c r="CI27" s="439"/>
      <c r="CO27" s="413">
        <v>0.75</v>
      </c>
      <c r="CP27" s="437"/>
      <c r="CQ27" s="438"/>
      <c r="CR27" s="438"/>
      <c r="CS27" s="438"/>
      <c r="CT27" s="438"/>
      <c r="CU27" s="438"/>
      <c r="CV27" s="438"/>
      <c r="CW27" s="438"/>
      <c r="CX27" s="438"/>
      <c r="CY27" s="438"/>
      <c r="CZ27" s="438"/>
      <c r="DA27" s="438"/>
      <c r="DB27" s="438"/>
      <c r="DC27" s="438"/>
      <c r="DD27" s="438"/>
      <c r="DE27" s="438"/>
      <c r="DF27" s="438"/>
      <c r="DG27" s="438"/>
      <c r="DH27" s="438"/>
      <c r="DI27" s="438"/>
      <c r="DJ27" s="438"/>
      <c r="DK27" s="438"/>
      <c r="DL27" s="438"/>
      <c r="DM27" s="439"/>
      <c r="DS27" s="413">
        <v>0.75</v>
      </c>
      <c r="DT27" s="437"/>
      <c r="DU27" s="438"/>
      <c r="DV27" s="438"/>
      <c r="DW27" s="438"/>
      <c r="DX27" s="438"/>
      <c r="DY27" s="438"/>
      <c r="DZ27" s="438"/>
      <c r="EA27" s="438"/>
      <c r="EB27" s="438"/>
      <c r="EC27" s="438"/>
      <c r="ED27" s="438"/>
      <c r="EE27" s="438"/>
      <c r="EF27" s="438"/>
      <c r="EG27" s="438"/>
      <c r="EH27" s="438"/>
      <c r="EI27" s="438"/>
      <c r="EJ27" s="438"/>
      <c r="EK27" s="438"/>
      <c r="EL27" s="438"/>
      <c r="EM27" s="438"/>
      <c r="EN27" s="438"/>
      <c r="EO27" s="438"/>
      <c r="EP27" s="438"/>
      <c r="EQ27" s="439"/>
    </row>
    <row r="28" spans="3:147" x14ac:dyDescent="0.35">
      <c r="C28" s="413">
        <v>0.74</v>
      </c>
      <c r="D28" s="420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21"/>
      <c r="AG28" s="413">
        <v>0.74</v>
      </c>
      <c r="AH28" s="428"/>
      <c r="AI28" s="414"/>
      <c r="AJ28" s="414"/>
      <c r="AK28" s="414"/>
      <c r="AL28" s="414"/>
      <c r="AM28" s="414"/>
      <c r="AN28" s="414"/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29"/>
      <c r="BK28" s="413">
        <v>0.74</v>
      </c>
      <c r="BL28" s="437"/>
      <c r="BM28" s="438"/>
      <c r="BN28" s="438"/>
      <c r="BO28" s="438"/>
      <c r="BP28" s="438"/>
      <c r="BQ28" s="438"/>
      <c r="BR28" s="438"/>
      <c r="BS28" s="438"/>
      <c r="BT28" s="438"/>
      <c r="BU28" s="438"/>
      <c r="BV28" s="438"/>
      <c r="BW28" s="438"/>
      <c r="BX28" s="438"/>
      <c r="BY28" s="438"/>
      <c r="BZ28" s="438"/>
      <c r="CA28" s="438"/>
      <c r="CB28" s="438"/>
      <c r="CC28" s="438"/>
      <c r="CD28" s="438"/>
      <c r="CE28" s="438"/>
      <c r="CF28" s="438"/>
      <c r="CG28" s="438"/>
      <c r="CH28" s="438"/>
      <c r="CI28" s="439"/>
      <c r="CO28" s="413">
        <v>0.74</v>
      </c>
      <c r="CP28" s="437"/>
      <c r="CQ28" s="438"/>
      <c r="CR28" s="438"/>
      <c r="CS28" s="438"/>
      <c r="CT28" s="438"/>
      <c r="CU28" s="438"/>
      <c r="CV28" s="438"/>
      <c r="CW28" s="438"/>
      <c r="CX28" s="438"/>
      <c r="CY28" s="438"/>
      <c r="CZ28" s="438"/>
      <c r="DA28" s="438"/>
      <c r="DB28" s="438"/>
      <c r="DC28" s="438"/>
      <c r="DD28" s="438"/>
      <c r="DE28" s="438"/>
      <c r="DF28" s="438"/>
      <c r="DG28" s="438"/>
      <c r="DH28" s="438"/>
      <c r="DI28" s="438"/>
      <c r="DJ28" s="438"/>
      <c r="DK28" s="438"/>
      <c r="DL28" s="438"/>
      <c r="DM28" s="439"/>
      <c r="DS28" s="413">
        <v>0.74</v>
      </c>
      <c r="DT28" s="437"/>
      <c r="DU28" s="438"/>
      <c r="DV28" s="438"/>
      <c r="DW28" s="438"/>
      <c r="DX28" s="438"/>
      <c r="DY28" s="438"/>
      <c r="DZ28" s="438"/>
      <c r="EA28" s="438"/>
      <c r="EB28" s="438"/>
      <c r="EC28" s="438"/>
      <c r="ED28" s="438"/>
      <c r="EE28" s="438"/>
      <c r="EF28" s="438"/>
      <c r="EG28" s="438"/>
      <c r="EH28" s="438"/>
      <c r="EI28" s="438"/>
      <c r="EJ28" s="438"/>
      <c r="EK28" s="438"/>
      <c r="EL28" s="438"/>
      <c r="EM28" s="438"/>
      <c r="EN28" s="438"/>
      <c r="EO28" s="438"/>
      <c r="EP28" s="438"/>
      <c r="EQ28" s="439"/>
    </row>
    <row r="29" spans="3:147" x14ac:dyDescent="0.35">
      <c r="C29" s="413">
        <v>0.73</v>
      </c>
      <c r="D29" s="420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21"/>
      <c r="AG29" s="413">
        <v>0.73</v>
      </c>
      <c r="AH29" s="428"/>
      <c r="AI29" s="414"/>
      <c r="AJ29" s="414"/>
      <c r="AK29" s="414"/>
      <c r="AL29" s="414"/>
      <c r="AM29" s="414"/>
      <c r="AN29" s="414"/>
      <c r="AO29" s="414"/>
      <c r="AP29" s="414"/>
      <c r="AQ29" s="414"/>
      <c r="AR29" s="414"/>
      <c r="AS29" s="414"/>
      <c r="AT29" s="414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29"/>
      <c r="BK29" s="413">
        <v>0.73</v>
      </c>
      <c r="BL29" s="437"/>
      <c r="BM29" s="438"/>
      <c r="BN29" s="438"/>
      <c r="BO29" s="438"/>
      <c r="BP29" s="438"/>
      <c r="BQ29" s="438"/>
      <c r="BR29" s="438"/>
      <c r="BS29" s="438"/>
      <c r="BT29" s="438"/>
      <c r="BU29" s="438"/>
      <c r="BV29" s="438"/>
      <c r="BW29" s="438"/>
      <c r="BX29" s="438"/>
      <c r="BY29" s="438"/>
      <c r="BZ29" s="438"/>
      <c r="CA29" s="438"/>
      <c r="CB29" s="438"/>
      <c r="CC29" s="438"/>
      <c r="CD29" s="438"/>
      <c r="CE29" s="438"/>
      <c r="CF29" s="438"/>
      <c r="CG29" s="438"/>
      <c r="CH29" s="438"/>
      <c r="CI29" s="439"/>
      <c r="CO29" s="413">
        <v>0.73</v>
      </c>
      <c r="CP29" s="437"/>
      <c r="CQ29" s="438"/>
      <c r="CR29" s="438"/>
      <c r="CS29" s="438"/>
      <c r="CT29" s="438"/>
      <c r="CU29" s="438"/>
      <c r="CV29" s="438"/>
      <c r="CW29" s="438"/>
      <c r="CX29" s="438"/>
      <c r="CY29" s="438"/>
      <c r="CZ29" s="438"/>
      <c r="DA29" s="438"/>
      <c r="DB29" s="438"/>
      <c r="DC29" s="438"/>
      <c r="DD29" s="438"/>
      <c r="DE29" s="438"/>
      <c r="DF29" s="438"/>
      <c r="DG29" s="438"/>
      <c r="DH29" s="438"/>
      <c r="DI29" s="438"/>
      <c r="DJ29" s="438"/>
      <c r="DK29" s="438"/>
      <c r="DL29" s="438"/>
      <c r="DM29" s="439"/>
      <c r="DS29" s="413">
        <v>0.73</v>
      </c>
      <c r="DT29" s="437"/>
      <c r="DU29" s="438"/>
      <c r="DV29" s="438"/>
      <c r="DW29" s="438"/>
      <c r="DX29" s="438"/>
      <c r="DY29" s="438"/>
      <c r="DZ29" s="438"/>
      <c r="EA29" s="438"/>
      <c r="EB29" s="438"/>
      <c r="EC29" s="438"/>
      <c r="ED29" s="438"/>
      <c r="EE29" s="438"/>
      <c r="EF29" s="438"/>
      <c r="EG29" s="438"/>
      <c r="EH29" s="438"/>
      <c r="EI29" s="438"/>
      <c r="EJ29" s="438"/>
      <c r="EK29" s="438"/>
      <c r="EL29" s="438"/>
      <c r="EM29" s="438"/>
      <c r="EN29" s="438"/>
      <c r="EO29" s="438"/>
      <c r="EP29" s="438"/>
      <c r="EQ29" s="439"/>
    </row>
    <row r="30" spans="3:147" x14ac:dyDescent="0.35">
      <c r="C30" s="413">
        <v>0.72</v>
      </c>
      <c r="D30" s="420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21"/>
      <c r="AG30" s="413">
        <v>0.72</v>
      </c>
      <c r="AH30" s="428"/>
      <c r="AI30" s="414"/>
      <c r="AJ30" s="414"/>
      <c r="AK30" s="414"/>
      <c r="AL30" s="414"/>
      <c r="AM30" s="414"/>
      <c r="AN30" s="414"/>
      <c r="AO30" s="414"/>
      <c r="AP30" s="414"/>
      <c r="AQ30" s="414"/>
      <c r="AR30" s="414"/>
      <c r="AS30" s="414"/>
      <c r="AT30" s="414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29"/>
      <c r="BK30" s="413">
        <v>0.72</v>
      </c>
      <c r="BL30" s="437"/>
      <c r="BM30" s="438"/>
      <c r="BN30" s="438"/>
      <c r="BO30" s="438"/>
      <c r="BP30" s="438"/>
      <c r="BQ30" s="438"/>
      <c r="BR30" s="438"/>
      <c r="BS30" s="438"/>
      <c r="BT30" s="438"/>
      <c r="BU30" s="438"/>
      <c r="BV30" s="438"/>
      <c r="BW30" s="438"/>
      <c r="BX30" s="438"/>
      <c r="BY30" s="438"/>
      <c r="BZ30" s="438"/>
      <c r="CA30" s="438"/>
      <c r="CB30" s="438"/>
      <c r="CC30" s="438"/>
      <c r="CD30" s="438"/>
      <c r="CE30" s="438"/>
      <c r="CF30" s="438"/>
      <c r="CG30" s="438"/>
      <c r="CH30" s="438"/>
      <c r="CI30" s="439"/>
      <c r="CO30" s="413">
        <v>0.72</v>
      </c>
      <c r="CP30" s="437"/>
      <c r="CQ30" s="438"/>
      <c r="CR30" s="438"/>
      <c r="CS30" s="438"/>
      <c r="CT30" s="438"/>
      <c r="CU30" s="438"/>
      <c r="CV30" s="438"/>
      <c r="CW30" s="438"/>
      <c r="CX30" s="438"/>
      <c r="CY30" s="438"/>
      <c r="CZ30" s="438"/>
      <c r="DA30" s="438"/>
      <c r="DB30" s="438"/>
      <c r="DC30" s="438"/>
      <c r="DD30" s="438"/>
      <c r="DE30" s="438"/>
      <c r="DF30" s="438"/>
      <c r="DG30" s="438"/>
      <c r="DH30" s="438"/>
      <c r="DI30" s="438"/>
      <c r="DJ30" s="438"/>
      <c r="DK30" s="438"/>
      <c r="DL30" s="438"/>
      <c r="DM30" s="439"/>
      <c r="DS30" s="413">
        <v>0.72</v>
      </c>
      <c r="DT30" s="437"/>
      <c r="DU30" s="438"/>
      <c r="DV30" s="438"/>
      <c r="DW30" s="438"/>
      <c r="DX30" s="438"/>
      <c r="DY30" s="438"/>
      <c r="DZ30" s="438"/>
      <c r="EA30" s="438"/>
      <c r="EB30" s="438"/>
      <c r="EC30" s="438"/>
      <c r="ED30" s="438"/>
      <c r="EE30" s="438"/>
      <c r="EF30" s="438"/>
      <c r="EG30" s="438"/>
      <c r="EH30" s="438"/>
      <c r="EI30" s="438"/>
      <c r="EJ30" s="438"/>
      <c r="EK30" s="438"/>
      <c r="EL30" s="438"/>
      <c r="EM30" s="438"/>
      <c r="EN30" s="438"/>
      <c r="EO30" s="438"/>
      <c r="EP30" s="438"/>
      <c r="EQ30" s="439"/>
    </row>
    <row r="31" spans="3:147" x14ac:dyDescent="0.35">
      <c r="C31" s="413">
        <v>0.71</v>
      </c>
      <c r="D31" s="420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21"/>
      <c r="AG31" s="413">
        <v>0.71</v>
      </c>
      <c r="AH31" s="428"/>
      <c r="AI31" s="414"/>
      <c r="AJ31" s="414"/>
      <c r="AK31" s="414"/>
      <c r="AL31" s="414"/>
      <c r="AM31" s="414"/>
      <c r="AN31" s="414"/>
      <c r="AO31" s="414"/>
      <c r="AP31" s="414"/>
      <c r="AQ31" s="414"/>
      <c r="AR31" s="414"/>
      <c r="AS31" s="414"/>
      <c r="AT31" s="414"/>
      <c r="AU31" s="414"/>
      <c r="AV31" s="414"/>
      <c r="AW31" s="414"/>
      <c r="AX31" s="414"/>
      <c r="AY31" s="414"/>
      <c r="AZ31" s="414"/>
      <c r="BA31" s="414"/>
      <c r="BB31" s="414"/>
      <c r="BC31" s="414"/>
      <c r="BD31" s="414"/>
      <c r="BE31" s="429"/>
      <c r="BK31" s="413">
        <v>0.71</v>
      </c>
      <c r="BL31" s="437"/>
      <c r="BM31" s="438"/>
      <c r="BN31" s="438"/>
      <c r="BO31" s="438"/>
      <c r="BP31" s="438"/>
      <c r="BQ31" s="438"/>
      <c r="BR31" s="438"/>
      <c r="BS31" s="438"/>
      <c r="BT31" s="438"/>
      <c r="BU31" s="438"/>
      <c r="BV31" s="438"/>
      <c r="BW31" s="438"/>
      <c r="BX31" s="438"/>
      <c r="BY31" s="438"/>
      <c r="BZ31" s="438"/>
      <c r="CA31" s="438"/>
      <c r="CB31" s="438"/>
      <c r="CC31" s="438"/>
      <c r="CD31" s="438"/>
      <c r="CE31" s="438"/>
      <c r="CF31" s="438"/>
      <c r="CG31" s="438"/>
      <c r="CH31" s="438"/>
      <c r="CI31" s="439"/>
      <c r="CO31" s="413">
        <v>0.71</v>
      </c>
      <c r="CP31" s="437"/>
      <c r="CQ31" s="438"/>
      <c r="CR31" s="438"/>
      <c r="CS31" s="438"/>
      <c r="CT31" s="438"/>
      <c r="CU31" s="438"/>
      <c r="CV31" s="438"/>
      <c r="CW31" s="438"/>
      <c r="CX31" s="438"/>
      <c r="CY31" s="438"/>
      <c r="CZ31" s="438"/>
      <c r="DA31" s="438"/>
      <c r="DB31" s="438"/>
      <c r="DC31" s="438"/>
      <c r="DD31" s="438"/>
      <c r="DE31" s="438"/>
      <c r="DF31" s="438"/>
      <c r="DG31" s="438"/>
      <c r="DH31" s="438"/>
      <c r="DI31" s="438"/>
      <c r="DJ31" s="438"/>
      <c r="DK31" s="438"/>
      <c r="DL31" s="438"/>
      <c r="DM31" s="439"/>
      <c r="DS31" s="413">
        <v>0.71</v>
      </c>
      <c r="DT31" s="437"/>
      <c r="DU31" s="438"/>
      <c r="DV31" s="438"/>
      <c r="DW31" s="438"/>
      <c r="DX31" s="438"/>
      <c r="DY31" s="438"/>
      <c r="DZ31" s="438"/>
      <c r="EA31" s="438"/>
      <c r="EB31" s="438"/>
      <c r="EC31" s="438"/>
      <c r="ED31" s="438"/>
      <c r="EE31" s="438"/>
      <c r="EF31" s="438"/>
      <c r="EG31" s="438"/>
      <c r="EH31" s="438"/>
      <c r="EI31" s="438"/>
      <c r="EJ31" s="438"/>
      <c r="EK31" s="438"/>
      <c r="EL31" s="438"/>
      <c r="EM31" s="438"/>
      <c r="EN31" s="438"/>
      <c r="EO31" s="438"/>
      <c r="EP31" s="438"/>
      <c r="EQ31" s="439"/>
    </row>
    <row r="32" spans="3:147" x14ac:dyDescent="0.35">
      <c r="C32" s="413">
        <v>0.7</v>
      </c>
      <c r="D32" s="420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21"/>
      <c r="AG32" s="413">
        <v>0.7</v>
      </c>
      <c r="AH32" s="428"/>
      <c r="AI32" s="414"/>
      <c r="AJ32" s="414"/>
      <c r="AK32" s="414"/>
      <c r="AL32" s="414"/>
      <c r="AM32" s="414"/>
      <c r="AN32" s="414"/>
      <c r="AO32" s="414"/>
      <c r="AP32" s="414"/>
      <c r="AQ32" s="414"/>
      <c r="AR32" s="414"/>
      <c r="AS32" s="414"/>
      <c r="AT32" s="414"/>
      <c r="AU32" s="414"/>
      <c r="AV32" s="414"/>
      <c r="AW32" s="414"/>
      <c r="AX32" s="414"/>
      <c r="AY32" s="414"/>
      <c r="AZ32" s="414"/>
      <c r="BA32" s="414"/>
      <c r="BB32" s="414"/>
      <c r="BC32" s="414"/>
      <c r="BD32" s="414"/>
      <c r="BE32" s="429"/>
      <c r="BK32" s="413">
        <v>0.7</v>
      </c>
      <c r="BL32" s="437"/>
      <c r="BM32" s="438"/>
      <c r="BN32" s="438"/>
      <c r="BO32" s="438"/>
      <c r="BP32" s="438"/>
      <c r="BQ32" s="438"/>
      <c r="BR32" s="438"/>
      <c r="BS32" s="438"/>
      <c r="BT32" s="438"/>
      <c r="BU32" s="438"/>
      <c r="BV32" s="438"/>
      <c r="BW32" s="438"/>
      <c r="BX32" s="438"/>
      <c r="BY32" s="438"/>
      <c r="BZ32" s="438"/>
      <c r="CA32" s="438"/>
      <c r="CB32" s="438"/>
      <c r="CC32" s="438"/>
      <c r="CD32" s="438"/>
      <c r="CE32" s="438"/>
      <c r="CF32" s="438"/>
      <c r="CG32" s="438"/>
      <c r="CH32" s="438"/>
      <c r="CI32" s="439"/>
      <c r="CO32" s="413">
        <v>0.7</v>
      </c>
      <c r="CP32" s="437"/>
      <c r="CQ32" s="438"/>
      <c r="CR32" s="438"/>
      <c r="CS32" s="438"/>
      <c r="CT32" s="438"/>
      <c r="CU32" s="438"/>
      <c r="CV32" s="438"/>
      <c r="CW32" s="438"/>
      <c r="CX32" s="438"/>
      <c r="CY32" s="438"/>
      <c r="CZ32" s="438"/>
      <c r="DA32" s="438"/>
      <c r="DB32" s="438"/>
      <c r="DC32" s="438"/>
      <c r="DD32" s="438"/>
      <c r="DE32" s="438"/>
      <c r="DF32" s="438"/>
      <c r="DG32" s="438"/>
      <c r="DH32" s="438"/>
      <c r="DI32" s="438"/>
      <c r="DJ32" s="438"/>
      <c r="DK32" s="438"/>
      <c r="DL32" s="438"/>
      <c r="DM32" s="439"/>
      <c r="DS32" s="413">
        <v>0.7</v>
      </c>
      <c r="DT32" s="437"/>
      <c r="DU32" s="438"/>
      <c r="DV32" s="438"/>
      <c r="DW32" s="438"/>
      <c r="DX32" s="438"/>
      <c r="DY32" s="438"/>
      <c r="DZ32" s="438"/>
      <c r="EA32" s="438"/>
      <c r="EB32" s="438"/>
      <c r="EC32" s="438"/>
      <c r="ED32" s="438"/>
      <c r="EE32" s="438"/>
      <c r="EF32" s="438"/>
      <c r="EG32" s="438"/>
      <c r="EH32" s="438"/>
      <c r="EI32" s="438"/>
      <c r="EJ32" s="438"/>
      <c r="EK32" s="438"/>
      <c r="EL32" s="438"/>
      <c r="EM32" s="438"/>
      <c r="EN32" s="438"/>
      <c r="EO32" s="438"/>
      <c r="EP32" s="438"/>
      <c r="EQ32" s="439"/>
    </row>
    <row r="33" spans="3:147" x14ac:dyDescent="0.35">
      <c r="C33" s="413">
        <v>0.69</v>
      </c>
      <c r="D33" s="420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21"/>
      <c r="AG33" s="413">
        <v>0.69</v>
      </c>
      <c r="AH33" s="428"/>
      <c r="AI33" s="414"/>
      <c r="AJ33" s="414"/>
      <c r="AK33" s="414"/>
      <c r="AL33" s="414"/>
      <c r="AM33" s="414"/>
      <c r="AN33" s="414"/>
      <c r="AO33" s="414"/>
      <c r="AP33" s="414"/>
      <c r="AQ33" s="414"/>
      <c r="AR33" s="414"/>
      <c r="AS33" s="414"/>
      <c r="AT33" s="414"/>
      <c r="AU33" s="414"/>
      <c r="AV33" s="414"/>
      <c r="AW33" s="414"/>
      <c r="AX33" s="414"/>
      <c r="AY33" s="414"/>
      <c r="AZ33" s="414"/>
      <c r="BA33" s="414"/>
      <c r="BB33" s="414"/>
      <c r="BC33" s="414"/>
      <c r="BD33" s="414"/>
      <c r="BE33" s="429"/>
      <c r="BK33" s="413">
        <v>0.69</v>
      </c>
      <c r="BL33" s="437"/>
      <c r="BM33" s="438"/>
      <c r="BN33" s="438"/>
      <c r="BO33" s="438"/>
      <c r="BP33" s="438"/>
      <c r="BQ33" s="438"/>
      <c r="BR33" s="438"/>
      <c r="BS33" s="438"/>
      <c r="BT33" s="438"/>
      <c r="BU33" s="438"/>
      <c r="BV33" s="438"/>
      <c r="BW33" s="438"/>
      <c r="BX33" s="438"/>
      <c r="BY33" s="438"/>
      <c r="BZ33" s="438"/>
      <c r="CA33" s="438"/>
      <c r="CB33" s="438"/>
      <c r="CC33" s="438"/>
      <c r="CD33" s="438"/>
      <c r="CE33" s="438"/>
      <c r="CF33" s="438"/>
      <c r="CG33" s="438"/>
      <c r="CH33" s="438"/>
      <c r="CI33" s="439"/>
      <c r="CO33" s="413">
        <v>0.69</v>
      </c>
      <c r="CP33" s="437"/>
      <c r="CQ33" s="438"/>
      <c r="CR33" s="438"/>
      <c r="CS33" s="438"/>
      <c r="CT33" s="438"/>
      <c r="CU33" s="438"/>
      <c r="CV33" s="438"/>
      <c r="CW33" s="438"/>
      <c r="CX33" s="438"/>
      <c r="CY33" s="438"/>
      <c r="CZ33" s="438"/>
      <c r="DA33" s="438"/>
      <c r="DB33" s="438"/>
      <c r="DC33" s="438"/>
      <c r="DD33" s="438"/>
      <c r="DE33" s="438"/>
      <c r="DF33" s="438"/>
      <c r="DG33" s="438"/>
      <c r="DH33" s="438"/>
      <c r="DI33" s="438"/>
      <c r="DJ33" s="438"/>
      <c r="DK33" s="438"/>
      <c r="DL33" s="438"/>
      <c r="DM33" s="439"/>
      <c r="DS33" s="413">
        <v>0.69</v>
      </c>
      <c r="DT33" s="437"/>
      <c r="DU33" s="438"/>
      <c r="DV33" s="438"/>
      <c r="DW33" s="438"/>
      <c r="DX33" s="438"/>
      <c r="DY33" s="438"/>
      <c r="DZ33" s="438"/>
      <c r="EA33" s="438"/>
      <c r="EB33" s="438"/>
      <c r="EC33" s="438"/>
      <c r="ED33" s="438"/>
      <c r="EE33" s="438"/>
      <c r="EF33" s="438"/>
      <c r="EG33" s="438"/>
      <c r="EH33" s="438"/>
      <c r="EI33" s="438"/>
      <c r="EJ33" s="438"/>
      <c r="EK33" s="438"/>
      <c r="EL33" s="438"/>
      <c r="EM33" s="438"/>
      <c r="EN33" s="438"/>
      <c r="EO33" s="438"/>
      <c r="EP33" s="438"/>
      <c r="EQ33" s="439"/>
    </row>
    <row r="34" spans="3:147" x14ac:dyDescent="0.35">
      <c r="C34" s="413">
        <v>0.68</v>
      </c>
      <c r="D34" s="420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21"/>
      <c r="AG34" s="413">
        <v>0.68</v>
      </c>
      <c r="AH34" s="428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29"/>
      <c r="BK34" s="413">
        <v>0.68</v>
      </c>
      <c r="BL34" s="437"/>
      <c r="BM34" s="438"/>
      <c r="BN34" s="438"/>
      <c r="BO34" s="438"/>
      <c r="BP34" s="438"/>
      <c r="BQ34" s="438"/>
      <c r="BR34" s="438"/>
      <c r="BS34" s="438"/>
      <c r="BT34" s="438"/>
      <c r="BU34" s="438"/>
      <c r="BV34" s="438"/>
      <c r="BW34" s="438"/>
      <c r="BX34" s="438"/>
      <c r="BY34" s="438"/>
      <c r="BZ34" s="438"/>
      <c r="CA34" s="438"/>
      <c r="CB34" s="438"/>
      <c r="CC34" s="438"/>
      <c r="CD34" s="438"/>
      <c r="CE34" s="438"/>
      <c r="CF34" s="438"/>
      <c r="CG34" s="438"/>
      <c r="CH34" s="438"/>
      <c r="CI34" s="439"/>
      <c r="CO34" s="413">
        <v>0.68</v>
      </c>
      <c r="CP34" s="437"/>
      <c r="CQ34" s="438"/>
      <c r="CR34" s="438"/>
      <c r="CS34" s="438"/>
      <c r="CT34" s="438"/>
      <c r="CU34" s="438"/>
      <c r="CV34" s="438"/>
      <c r="CW34" s="438"/>
      <c r="CX34" s="438"/>
      <c r="CY34" s="438"/>
      <c r="CZ34" s="438"/>
      <c r="DA34" s="438"/>
      <c r="DB34" s="438"/>
      <c r="DC34" s="438"/>
      <c r="DD34" s="438"/>
      <c r="DE34" s="438"/>
      <c r="DF34" s="438"/>
      <c r="DG34" s="438"/>
      <c r="DH34" s="438"/>
      <c r="DI34" s="438"/>
      <c r="DJ34" s="438"/>
      <c r="DK34" s="438"/>
      <c r="DL34" s="438"/>
      <c r="DM34" s="439"/>
      <c r="DS34" s="413">
        <v>0.68</v>
      </c>
      <c r="DT34" s="437"/>
      <c r="DU34" s="438"/>
      <c r="DV34" s="438"/>
      <c r="DW34" s="438"/>
      <c r="DX34" s="438"/>
      <c r="DY34" s="438"/>
      <c r="DZ34" s="438"/>
      <c r="EA34" s="438"/>
      <c r="EB34" s="438"/>
      <c r="EC34" s="438"/>
      <c r="ED34" s="438"/>
      <c r="EE34" s="438"/>
      <c r="EF34" s="438"/>
      <c r="EG34" s="438"/>
      <c r="EH34" s="438"/>
      <c r="EI34" s="438"/>
      <c r="EJ34" s="438"/>
      <c r="EK34" s="438"/>
      <c r="EL34" s="438"/>
      <c r="EM34" s="438"/>
      <c r="EN34" s="438"/>
      <c r="EO34" s="438"/>
      <c r="EP34" s="438"/>
      <c r="EQ34" s="439"/>
    </row>
    <row r="35" spans="3:147" x14ac:dyDescent="0.35">
      <c r="C35" s="413">
        <v>0.67</v>
      </c>
      <c r="D35" s="420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21"/>
      <c r="AG35" s="413">
        <v>0.67</v>
      </c>
      <c r="AH35" s="428"/>
      <c r="AI35" s="414"/>
      <c r="AJ35" s="414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29"/>
      <c r="BK35" s="413">
        <v>0.67</v>
      </c>
      <c r="BL35" s="437"/>
      <c r="BM35" s="438"/>
      <c r="BN35" s="438"/>
      <c r="BO35" s="438"/>
      <c r="BP35" s="438"/>
      <c r="BQ35" s="438"/>
      <c r="BR35" s="438"/>
      <c r="BS35" s="438"/>
      <c r="BT35" s="438"/>
      <c r="BU35" s="438"/>
      <c r="BV35" s="438"/>
      <c r="BW35" s="438"/>
      <c r="BX35" s="438"/>
      <c r="BY35" s="438"/>
      <c r="BZ35" s="438"/>
      <c r="CA35" s="438"/>
      <c r="CB35" s="438"/>
      <c r="CC35" s="438"/>
      <c r="CD35" s="438"/>
      <c r="CE35" s="438"/>
      <c r="CF35" s="438"/>
      <c r="CG35" s="438"/>
      <c r="CH35" s="438"/>
      <c r="CI35" s="439"/>
      <c r="CO35" s="413">
        <v>0.67</v>
      </c>
      <c r="CP35" s="437"/>
      <c r="CQ35" s="438"/>
      <c r="CR35" s="438"/>
      <c r="CS35" s="438"/>
      <c r="CT35" s="438"/>
      <c r="CU35" s="438"/>
      <c r="CV35" s="438"/>
      <c r="CW35" s="438"/>
      <c r="CX35" s="438"/>
      <c r="CY35" s="438"/>
      <c r="CZ35" s="438"/>
      <c r="DA35" s="438"/>
      <c r="DB35" s="438"/>
      <c r="DC35" s="438"/>
      <c r="DD35" s="438"/>
      <c r="DE35" s="438"/>
      <c r="DF35" s="438"/>
      <c r="DG35" s="438"/>
      <c r="DH35" s="438"/>
      <c r="DI35" s="438"/>
      <c r="DJ35" s="438"/>
      <c r="DK35" s="438"/>
      <c r="DL35" s="438"/>
      <c r="DM35" s="439"/>
      <c r="DS35" s="413">
        <v>0.67</v>
      </c>
      <c r="DT35" s="437"/>
      <c r="DU35" s="438"/>
      <c r="DV35" s="438"/>
      <c r="DW35" s="438"/>
      <c r="DX35" s="438"/>
      <c r="DY35" s="438"/>
      <c r="DZ35" s="438"/>
      <c r="EA35" s="438"/>
      <c r="EB35" s="438"/>
      <c r="EC35" s="438"/>
      <c r="ED35" s="438"/>
      <c r="EE35" s="438"/>
      <c r="EF35" s="438"/>
      <c r="EG35" s="438"/>
      <c r="EH35" s="438"/>
      <c r="EI35" s="438"/>
      <c r="EJ35" s="438"/>
      <c r="EK35" s="438"/>
      <c r="EL35" s="438"/>
      <c r="EM35" s="438"/>
      <c r="EN35" s="438"/>
      <c r="EO35" s="438"/>
      <c r="EP35" s="438"/>
      <c r="EQ35" s="439"/>
    </row>
    <row r="36" spans="3:147" x14ac:dyDescent="0.35">
      <c r="C36" s="413">
        <v>0.66</v>
      </c>
      <c r="D36" s="420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21"/>
      <c r="AG36" s="413">
        <v>0.66</v>
      </c>
      <c r="AH36" s="428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29"/>
      <c r="BK36" s="413">
        <v>0.66</v>
      </c>
      <c r="BL36" s="437"/>
      <c r="BM36" s="438"/>
      <c r="BN36" s="438"/>
      <c r="BO36" s="438"/>
      <c r="BP36" s="438"/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  <c r="CA36" s="438"/>
      <c r="CB36" s="438"/>
      <c r="CC36" s="438"/>
      <c r="CD36" s="438"/>
      <c r="CE36" s="438"/>
      <c r="CF36" s="438"/>
      <c r="CG36" s="438"/>
      <c r="CH36" s="438"/>
      <c r="CI36" s="439"/>
      <c r="CO36" s="413">
        <v>0.66</v>
      </c>
      <c r="CP36" s="437"/>
      <c r="CQ36" s="438"/>
      <c r="CR36" s="438"/>
      <c r="CS36" s="438"/>
      <c r="CT36" s="438"/>
      <c r="CU36" s="438"/>
      <c r="CV36" s="438"/>
      <c r="CW36" s="438"/>
      <c r="CX36" s="438"/>
      <c r="CY36" s="438"/>
      <c r="CZ36" s="438"/>
      <c r="DA36" s="438"/>
      <c r="DB36" s="438"/>
      <c r="DC36" s="438"/>
      <c r="DD36" s="438"/>
      <c r="DE36" s="438"/>
      <c r="DF36" s="438"/>
      <c r="DG36" s="438"/>
      <c r="DH36" s="438"/>
      <c r="DI36" s="438"/>
      <c r="DJ36" s="438"/>
      <c r="DK36" s="438"/>
      <c r="DL36" s="438"/>
      <c r="DM36" s="439"/>
      <c r="DS36" s="413">
        <v>0.66</v>
      </c>
      <c r="DT36" s="437"/>
      <c r="DU36" s="438"/>
      <c r="DV36" s="438"/>
      <c r="DW36" s="438"/>
      <c r="DX36" s="438"/>
      <c r="DY36" s="438"/>
      <c r="DZ36" s="438"/>
      <c r="EA36" s="438"/>
      <c r="EB36" s="438"/>
      <c r="EC36" s="438"/>
      <c r="ED36" s="438"/>
      <c r="EE36" s="438"/>
      <c r="EF36" s="438"/>
      <c r="EG36" s="438"/>
      <c r="EH36" s="438"/>
      <c r="EI36" s="438"/>
      <c r="EJ36" s="438"/>
      <c r="EK36" s="438"/>
      <c r="EL36" s="438"/>
      <c r="EM36" s="438"/>
      <c r="EN36" s="438"/>
      <c r="EO36" s="438"/>
      <c r="EP36" s="438"/>
      <c r="EQ36" s="439"/>
    </row>
    <row r="37" spans="3:147" x14ac:dyDescent="0.35">
      <c r="C37" s="413">
        <v>0.65</v>
      </c>
      <c r="D37" s="420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21"/>
      <c r="AG37" s="413">
        <v>0.65</v>
      </c>
      <c r="AH37" s="428"/>
      <c r="AI37" s="414"/>
      <c r="AJ37" s="414"/>
      <c r="AK37" s="414"/>
      <c r="AL37" s="414"/>
      <c r="AM37" s="414"/>
      <c r="AN37" s="414"/>
      <c r="AO37" s="414"/>
      <c r="AP37" s="414"/>
      <c r="AQ37" s="414"/>
      <c r="AR37" s="414"/>
      <c r="AS37" s="414"/>
      <c r="AT37" s="414"/>
      <c r="AU37" s="414"/>
      <c r="AV37" s="414"/>
      <c r="AW37" s="414"/>
      <c r="AX37" s="414"/>
      <c r="AY37" s="414"/>
      <c r="AZ37" s="414"/>
      <c r="BA37" s="414"/>
      <c r="BB37" s="414"/>
      <c r="BC37" s="414"/>
      <c r="BD37" s="414"/>
      <c r="BE37" s="429"/>
      <c r="BK37" s="413">
        <v>0.65</v>
      </c>
      <c r="BL37" s="437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  <c r="CA37" s="438"/>
      <c r="CB37" s="438"/>
      <c r="CC37" s="438"/>
      <c r="CD37" s="438"/>
      <c r="CE37" s="438"/>
      <c r="CF37" s="438"/>
      <c r="CG37" s="438"/>
      <c r="CH37" s="438"/>
      <c r="CI37" s="439"/>
      <c r="CO37" s="413">
        <v>0.65</v>
      </c>
      <c r="CP37" s="437"/>
      <c r="CQ37" s="438"/>
      <c r="CR37" s="438"/>
      <c r="CS37" s="438"/>
      <c r="CT37" s="438"/>
      <c r="CU37" s="438"/>
      <c r="CV37" s="438"/>
      <c r="CW37" s="438"/>
      <c r="CX37" s="438"/>
      <c r="CY37" s="438"/>
      <c r="CZ37" s="438"/>
      <c r="DA37" s="438"/>
      <c r="DB37" s="438"/>
      <c r="DC37" s="438"/>
      <c r="DD37" s="438"/>
      <c r="DE37" s="438"/>
      <c r="DF37" s="438"/>
      <c r="DG37" s="438"/>
      <c r="DH37" s="438"/>
      <c r="DI37" s="438"/>
      <c r="DJ37" s="438"/>
      <c r="DK37" s="438"/>
      <c r="DL37" s="438"/>
      <c r="DM37" s="439"/>
      <c r="DS37" s="413">
        <v>0.65</v>
      </c>
      <c r="DT37" s="437"/>
      <c r="DU37" s="438"/>
      <c r="DV37" s="438"/>
      <c r="DW37" s="438"/>
      <c r="DX37" s="438"/>
      <c r="DY37" s="438"/>
      <c r="DZ37" s="438"/>
      <c r="EA37" s="438"/>
      <c r="EB37" s="438"/>
      <c r="EC37" s="438"/>
      <c r="ED37" s="438"/>
      <c r="EE37" s="438"/>
      <c r="EF37" s="438"/>
      <c r="EG37" s="438"/>
      <c r="EH37" s="438"/>
      <c r="EI37" s="438"/>
      <c r="EJ37" s="438"/>
      <c r="EK37" s="438"/>
      <c r="EL37" s="438"/>
      <c r="EM37" s="438"/>
      <c r="EN37" s="438"/>
      <c r="EO37" s="438"/>
      <c r="EP37" s="438"/>
      <c r="EQ37" s="439"/>
    </row>
    <row r="38" spans="3:147" x14ac:dyDescent="0.35">
      <c r="C38" s="413">
        <v>0.64</v>
      </c>
      <c r="D38" s="420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21"/>
      <c r="AG38" s="413">
        <v>0.64</v>
      </c>
      <c r="AH38" s="428"/>
      <c r="AI38" s="414"/>
      <c r="AJ38" s="414"/>
      <c r="AK38" s="414"/>
      <c r="AL38" s="414"/>
      <c r="AM38" s="414"/>
      <c r="AN38" s="414"/>
      <c r="AO38" s="414"/>
      <c r="AP38" s="414"/>
      <c r="AQ38" s="414"/>
      <c r="AR38" s="414"/>
      <c r="AS38" s="414"/>
      <c r="AT38" s="414"/>
      <c r="AU38" s="414"/>
      <c r="AV38" s="414"/>
      <c r="AW38" s="414"/>
      <c r="AX38" s="414"/>
      <c r="AY38" s="414"/>
      <c r="AZ38" s="414"/>
      <c r="BA38" s="414"/>
      <c r="BB38" s="414"/>
      <c r="BC38" s="414"/>
      <c r="BD38" s="414"/>
      <c r="BE38" s="429"/>
      <c r="BK38" s="413">
        <v>0.64</v>
      </c>
      <c r="BL38" s="437"/>
      <c r="BM38" s="438"/>
      <c r="BN38" s="438"/>
      <c r="BO38" s="438"/>
      <c r="BP38" s="438"/>
      <c r="BQ38" s="438"/>
      <c r="BR38" s="438"/>
      <c r="BS38" s="438"/>
      <c r="BT38" s="438"/>
      <c r="BU38" s="438"/>
      <c r="BV38" s="438"/>
      <c r="BW38" s="438"/>
      <c r="BX38" s="438"/>
      <c r="BY38" s="438"/>
      <c r="BZ38" s="438"/>
      <c r="CA38" s="438"/>
      <c r="CB38" s="438"/>
      <c r="CC38" s="438"/>
      <c r="CD38" s="438"/>
      <c r="CE38" s="438"/>
      <c r="CF38" s="438"/>
      <c r="CG38" s="438"/>
      <c r="CH38" s="438"/>
      <c r="CI38" s="439"/>
      <c r="CO38" s="413">
        <v>0.64</v>
      </c>
      <c r="CP38" s="437"/>
      <c r="CQ38" s="438"/>
      <c r="CR38" s="438"/>
      <c r="CS38" s="438"/>
      <c r="CT38" s="438"/>
      <c r="CU38" s="438"/>
      <c r="CV38" s="438"/>
      <c r="CW38" s="438"/>
      <c r="CX38" s="438"/>
      <c r="CY38" s="438"/>
      <c r="CZ38" s="438"/>
      <c r="DA38" s="438"/>
      <c r="DB38" s="438"/>
      <c r="DC38" s="438"/>
      <c r="DD38" s="438"/>
      <c r="DE38" s="438"/>
      <c r="DF38" s="438"/>
      <c r="DG38" s="438"/>
      <c r="DH38" s="438"/>
      <c r="DI38" s="438"/>
      <c r="DJ38" s="438"/>
      <c r="DK38" s="438"/>
      <c r="DL38" s="438"/>
      <c r="DM38" s="439"/>
      <c r="DS38" s="413">
        <v>0.64</v>
      </c>
      <c r="DT38" s="437"/>
      <c r="DU38" s="438"/>
      <c r="DV38" s="438"/>
      <c r="DW38" s="438"/>
      <c r="DX38" s="438"/>
      <c r="DY38" s="438"/>
      <c r="DZ38" s="438"/>
      <c r="EA38" s="438"/>
      <c r="EB38" s="438"/>
      <c r="EC38" s="438"/>
      <c r="ED38" s="438"/>
      <c r="EE38" s="438"/>
      <c r="EF38" s="438"/>
      <c r="EG38" s="438"/>
      <c r="EH38" s="438"/>
      <c r="EI38" s="438"/>
      <c r="EJ38" s="438"/>
      <c r="EK38" s="438"/>
      <c r="EL38" s="438"/>
      <c r="EM38" s="438"/>
      <c r="EN38" s="438"/>
      <c r="EO38" s="438"/>
      <c r="EP38" s="438"/>
      <c r="EQ38" s="439"/>
    </row>
    <row r="39" spans="3:147" x14ac:dyDescent="0.35">
      <c r="C39" s="413">
        <v>0.63</v>
      </c>
      <c r="D39" s="420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21"/>
      <c r="AG39" s="413">
        <v>0.63</v>
      </c>
      <c r="AH39" s="428"/>
      <c r="AI39" s="414"/>
      <c r="AJ39" s="414"/>
      <c r="AK39" s="414"/>
      <c r="AL39" s="414"/>
      <c r="AM39" s="414"/>
      <c r="AN39" s="414"/>
      <c r="AO39" s="414"/>
      <c r="AP39" s="414"/>
      <c r="AQ39" s="414"/>
      <c r="AR39" s="414"/>
      <c r="AS39" s="414"/>
      <c r="AT39" s="414"/>
      <c r="AU39" s="414"/>
      <c r="AV39" s="414"/>
      <c r="AW39" s="414"/>
      <c r="AX39" s="414"/>
      <c r="AY39" s="414"/>
      <c r="AZ39" s="414"/>
      <c r="BA39" s="414"/>
      <c r="BB39" s="414"/>
      <c r="BC39" s="414"/>
      <c r="BD39" s="414"/>
      <c r="BE39" s="429"/>
      <c r="BK39" s="413">
        <v>0.63</v>
      </c>
      <c r="BL39" s="437"/>
      <c r="BM39" s="438"/>
      <c r="BN39" s="438"/>
      <c r="BO39" s="438"/>
      <c r="BP39" s="438"/>
      <c r="BQ39" s="438"/>
      <c r="BR39" s="438"/>
      <c r="BS39" s="438"/>
      <c r="BT39" s="438"/>
      <c r="BU39" s="438"/>
      <c r="BV39" s="438"/>
      <c r="BW39" s="438"/>
      <c r="BX39" s="438"/>
      <c r="BY39" s="438"/>
      <c r="BZ39" s="438"/>
      <c r="CA39" s="438"/>
      <c r="CB39" s="438"/>
      <c r="CC39" s="438"/>
      <c r="CD39" s="438"/>
      <c r="CE39" s="438"/>
      <c r="CF39" s="438"/>
      <c r="CG39" s="438"/>
      <c r="CH39" s="438"/>
      <c r="CI39" s="439"/>
      <c r="CO39" s="413">
        <v>0.63</v>
      </c>
      <c r="CP39" s="437"/>
      <c r="CQ39" s="438"/>
      <c r="CR39" s="438"/>
      <c r="CS39" s="438"/>
      <c r="CT39" s="438"/>
      <c r="CU39" s="438"/>
      <c r="CV39" s="438"/>
      <c r="CW39" s="438"/>
      <c r="CX39" s="438"/>
      <c r="CY39" s="438"/>
      <c r="CZ39" s="438"/>
      <c r="DA39" s="438"/>
      <c r="DB39" s="438"/>
      <c r="DC39" s="438"/>
      <c r="DD39" s="438"/>
      <c r="DE39" s="438"/>
      <c r="DF39" s="438"/>
      <c r="DG39" s="438"/>
      <c r="DH39" s="438"/>
      <c r="DI39" s="438"/>
      <c r="DJ39" s="438"/>
      <c r="DK39" s="438"/>
      <c r="DL39" s="438"/>
      <c r="DM39" s="439"/>
      <c r="DS39" s="413">
        <v>0.63</v>
      </c>
      <c r="DT39" s="437"/>
      <c r="DU39" s="438"/>
      <c r="DV39" s="438"/>
      <c r="DW39" s="438"/>
      <c r="DX39" s="438"/>
      <c r="DY39" s="438"/>
      <c r="DZ39" s="438"/>
      <c r="EA39" s="438"/>
      <c r="EB39" s="438"/>
      <c r="EC39" s="438"/>
      <c r="ED39" s="438"/>
      <c r="EE39" s="438"/>
      <c r="EF39" s="438"/>
      <c r="EG39" s="438"/>
      <c r="EH39" s="438"/>
      <c r="EI39" s="438"/>
      <c r="EJ39" s="438"/>
      <c r="EK39" s="438"/>
      <c r="EL39" s="438"/>
      <c r="EM39" s="438"/>
      <c r="EN39" s="438"/>
      <c r="EO39" s="438"/>
      <c r="EP39" s="438"/>
      <c r="EQ39" s="439"/>
    </row>
    <row r="40" spans="3:147" x14ac:dyDescent="0.35">
      <c r="C40" s="413">
        <v>0.62</v>
      </c>
      <c r="D40" s="420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21"/>
      <c r="AG40" s="413">
        <v>0.62</v>
      </c>
      <c r="AH40" s="428"/>
      <c r="AI40" s="414"/>
      <c r="AJ40" s="414"/>
      <c r="AK40" s="414"/>
      <c r="AL40" s="414"/>
      <c r="AM40" s="414"/>
      <c r="AN40" s="414"/>
      <c r="AO40" s="414"/>
      <c r="AP40" s="414"/>
      <c r="AQ40" s="414"/>
      <c r="AR40" s="414"/>
      <c r="AS40" s="414"/>
      <c r="AT40" s="414"/>
      <c r="AU40" s="414"/>
      <c r="AV40" s="414"/>
      <c r="AW40" s="414"/>
      <c r="AX40" s="414"/>
      <c r="AY40" s="414"/>
      <c r="AZ40" s="414"/>
      <c r="BA40" s="414"/>
      <c r="BB40" s="414"/>
      <c r="BC40" s="414"/>
      <c r="BD40" s="414"/>
      <c r="BE40" s="429"/>
      <c r="BK40" s="413">
        <v>0.62</v>
      </c>
      <c r="BL40" s="437"/>
      <c r="BM40" s="438"/>
      <c r="BN40" s="438"/>
      <c r="BO40" s="438"/>
      <c r="BP40" s="438"/>
      <c r="BQ40" s="438"/>
      <c r="BR40" s="438"/>
      <c r="BS40" s="438"/>
      <c r="BT40" s="438"/>
      <c r="BU40" s="438"/>
      <c r="BV40" s="438"/>
      <c r="BW40" s="438"/>
      <c r="BX40" s="438"/>
      <c r="BY40" s="438"/>
      <c r="BZ40" s="438"/>
      <c r="CA40" s="438"/>
      <c r="CB40" s="438"/>
      <c r="CC40" s="438"/>
      <c r="CD40" s="438"/>
      <c r="CE40" s="438"/>
      <c r="CF40" s="438"/>
      <c r="CG40" s="438"/>
      <c r="CH40" s="438"/>
      <c r="CI40" s="439"/>
      <c r="CO40" s="413">
        <v>0.62</v>
      </c>
      <c r="CP40" s="437"/>
      <c r="CQ40" s="438"/>
      <c r="CR40" s="438"/>
      <c r="CS40" s="438"/>
      <c r="CT40" s="438"/>
      <c r="CU40" s="438"/>
      <c r="CV40" s="438"/>
      <c r="CW40" s="438"/>
      <c r="CX40" s="438"/>
      <c r="CY40" s="438"/>
      <c r="CZ40" s="438"/>
      <c r="DA40" s="438"/>
      <c r="DB40" s="438"/>
      <c r="DC40" s="438"/>
      <c r="DD40" s="438"/>
      <c r="DE40" s="438"/>
      <c r="DF40" s="438"/>
      <c r="DG40" s="438"/>
      <c r="DH40" s="438"/>
      <c r="DI40" s="438"/>
      <c r="DJ40" s="438"/>
      <c r="DK40" s="438"/>
      <c r="DL40" s="438"/>
      <c r="DM40" s="439"/>
      <c r="DS40" s="413">
        <v>0.62</v>
      </c>
      <c r="DT40" s="437"/>
      <c r="DU40" s="438"/>
      <c r="DV40" s="438"/>
      <c r="DW40" s="438"/>
      <c r="DX40" s="438"/>
      <c r="DY40" s="438"/>
      <c r="DZ40" s="438"/>
      <c r="EA40" s="438"/>
      <c r="EB40" s="438"/>
      <c r="EC40" s="438"/>
      <c r="ED40" s="438"/>
      <c r="EE40" s="438"/>
      <c r="EF40" s="438"/>
      <c r="EG40" s="438"/>
      <c r="EH40" s="438"/>
      <c r="EI40" s="438"/>
      <c r="EJ40" s="438"/>
      <c r="EK40" s="438"/>
      <c r="EL40" s="438"/>
      <c r="EM40" s="438"/>
      <c r="EN40" s="438"/>
      <c r="EO40" s="438"/>
      <c r="EP40" s="438"/>
      <c r="EQ40" s="439"/>
    </row>
    <row r="41" spans="3:147" x14ac:dyDescent="0.35">
      <c r="C41" s="413">
        <v>0.61</v>
      </c>
      <c r="D41" s="420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21"/>
      <c r="AG41" s="413">
        <v>0.61</v>
      </c>
      <c r="AH41" s="428"/>
      <c r="AI41" s="414"/>
      <c r="AJ41" s="414"/>
      <c r="AK41" s="414"/>
      <c r="AL41" s="414"/>
      <c r="AM41" s="414"/>
      <c r="AN41" s="414"/>
      <c r="AO41" s="414"/>
      <c r="AP41" s="414"/>
      <c r="AQ41" s="414"/>
      <c r="AR41" s="414"/>
      <c r="AS41" s="414"/>
      <c r="AT41" s="414"/>
      <c r="AU41" s="414"/>
      <c r="AV41" s="414"/>
      <c r="AW41" s="414"/>
      <c r="AX41" s="414"/>
      <c r="AY41" s="414"/>
      <c r="AZ41" s="414"/>
      <c r="BA41" s="414"/>
      <c r="BB41" s="414"/>
      <c r="BC41" s="414"/>
      <c r="BD41" s="414"/>
      <c r="BE41" s="429"/>
      <c r="BK41" s="413">
        <v>0.61</v>
      </c>
      <c r="BL41" s="437"/>
      <c r="BM41" s="438"/>
      <c r="BN41" s="438"/>
      <c r="BO41" s="438"/>
      <c r="BP41" s="438"/>
      <c r="BQ41" s="438"/>
      <c r="BR41" s="438"/>
      <c r="BS41" s="438"/>
      <c r="BT41" s="438"/>
      <c r="BU41" s="438"/>
      <c r="BV41" s="438"/>
      <c r="BW41" s="438"/>
      <c r="BX41" s="438"/>
      <c r="BY41" s="438"/>
      <c r="BZ41" s="438"/>
      <c r="CA41" s="438"/>
      <c r="CB41" s="438"/>
      <c r="CC41" s="438"/>
      <c r="CD41" s="438"/>
      <c r="CE41" s="438"/>
      <c r="CF41" s="438"/>
      <c r="CG41" s="438"/>
      <c r="CH41" s="438"/>
      <c r="CI41" s="439"/>
      <c r="CO41" s="413">
        <v>0.61</v>
      </c>
      <c r="CP41" s="437"/>
      <c r="CQ41" s="438"/>
      <c r="CR41" s="438"/>
      <c r="CS41" s="438"/>
      <c r="CT41" s="438"/>
      <c r="CU41" s="438"/>
      <c r="CV41" s="438"/>
      <c r="CW41" s="438"/>
      <c r="CX41" s="438"/>
      <c r="CY41" s="438"/>
      <c r="CZ41" s="438"/>
      <c r="DA41" s="438"/>
      <c r="DB41" s="438"/>
      <c r="DC41" s="438"/>
      <c r="DD41" s="438"/>
      <c r="DE41" s="438"/>
      <c r="DF41" s="438"/>
      <c r="DG41" s="438"/>
      <c r="DH41" s="438"/>
      <c r="DI41" s="438"/>
      <c r="DJ41" s="438"/>
      <c r="DK41" s="438"/>
      <c r="DL41" s="438"/>
      <c r="DM41" s="439"/>
      <c r="DS41" s="413">
        <v>0.61</v>
      </c>
      <c r="DT41" s="437"/>
      <c r="DU41" s="438"/>
      <c r="DV41" s="438"/>
      <c r="DW41" s="438"/>
      <c r="DX41" s="438"/>
      <c r="DY41" s="438"/>
      <c r="DZ41" s="438"/>
      <c r="EA41" s="438"/>
      <c r="EB41" s="438"/>
      <c r="EC41" s="438"/>
      <c r="ED41" s="438"/>
      <c r="EE41" s="438"/>
      <c r="EF41" s="438"/>
      <c r="EG41" s="438"/>
      <c r="EH41" s="438"/>
      <c r="EI41" s="438"/>
      <c r="EJ41" s="438"/>
      <c r="EK41" s="438"/>
      <c r="EL41" s="438"/>
      <c r="EM41" s="438"/>
      <c r="EN41" s="438"/>
      <c r="EO41" s="438"/>
      <c r="EP41" s="438"/>
      <c r="EQ41" s="439"/>
    </row>
    <row r="42" spans="3:147" x14ac:dyDescent="0.35">
      <c r="C42" s="413">
        <v>0.6</v>
      </c>
      <c r="D42" s="420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21"/>
      <c r="AG42" s="413">
        <v>0.6</v>
      </c>
      <c r="AH42" s="428"/>
      <c r="AI42" s="414"/>
      <c r="AJ42" s="414"/>
      <c r="AK42" s="414"/>
      <c r="AL42" s="414"/>
      <c r="AM42" s="414"/>
      <c r="AN42" s="414"/>
      <c r="AO42" s="414"/>
      <c r="AP42" s="414"/>
      <c r="AQ42" s="414"/>
      <c r="AR42" s="414"/>
      <c r="AS42" s="414"/>
      <c r="AT42" s="414"/>
      <c r="AU42" s="414"/>
      <c r="AV42" s="414"/>
      <c r="AW42" s="414"/>
      <c r="AX42" s="414"/>
      <c r="AY42" s="414"/>
      <c r="AZ42" s="414"/>
      <c r="BA42" s="414"/>
      <c r="BB42" s="414"/>
      <c r="BC42" s="414"/>
      <c r="BD42" s="414"/>
      <c r="BE42" s="429"/>
      <c r="BK42" s="413">
        <v>0.6</v>
      </c>
      <c r="BL42" s="437"/>
      <c r="BM42" s="438"/>
      <c r="BN42" s="438"/>
      <c r="BO42" s="438"/>
      <c r="BP42" s="438"/>
      <c r="BQ42" s="438"/>
      <c r="BR42" s="438"/>
      <c r="BS42" s="438"/>
      <c r="BT42" s="438"/>
      <c r="BU42" s="438"/>
      <c r="BV42" s="438"/>
      <c r="BW42" s="438"/>
      <c r="BX42" s="438"/>
      <c r="BY42" s="438"/>
      <c r="BZ42" s="438"/>
      <c r="CA42" s="438"/>
      <c r="CB42" s="438"/>
      <c r="CC42" s="438"/>
      <c r="CD42" s="438"/>
      <c r="CE42" s="438"/>
      <c r="CF42" s="438"/>
      <c r="CG42" s="438"/>
      <c r="CH42" s="438"/>
      <c r="CI42" s="439"/>
      <c r="CO42" s="413">
        <v>0.6</v>
      </c>
      <c r="CP42" s="437"/>
      <c r="CQ42" s="438"/>
      <c r="CR42" s="438"/>
      <c r="CS42" s="438"/>
      <c r="CT42" s="438"/>
      <c r="CU42" s="438"/>
      <c r="CV42" s="438"/>
      <c r="CW42" s="438"/>
      <c r="CX42" s="438"/>
      <c r="CY42" s="438"/>
      <c r="CZ42" s="438"/>
      <c r="DA42" s="438"/>
      <c r="DB42" s="438"/>
      <c r="DC42" s="438"/>
      <c r="DD42" s="438"/>
      <c r="DE42" s="438"/>
      <c r="DF42" s="438"/>
      <c r="DG42" s="438"/>
      <c r="DH42" s="438"/>
      <c r="DI42" s="438"/>
      <c r="DJ42" s="438"/>
      <c r="DK42" s="438"/>
      <c r="DL42" s="438"/>
      <c r="DM42" s="439"/>
      <c r="DS42" s="413">
        <v>0.6</v>
      </c>
      <c r="DT42" s="437"/>
      <c r="DU42" s="438"/>
      <c r="DV42" s="438"/>
      <c r="DW42" s="438"/>
      <c r="DX42" s="438"/>
      <c r="DY42" s="438"/>
      <c r="DZ42" s="438"/>
      <c r="EA42" s="438"/>
      <c r="EB42" s="438"/>
      <c r="EC42" s="438"/>
      <c r="ED42" s="438"/>
      <c r="EE42" s="438"/>
      <c r="EF42" s="438"/>
      <c r="EG42" s="438"/>
      <c r="EH42" s="438"/>
      <c r="EI42" s="438"/>
      <c r="EJ42" s="438"/>
      <c r="EK42" s="438"/>
      <c r="EL42" s="438"/>
      <c r="EM42" s="438"/>
      <c r="EN42" s="438"/>
      <c r="EO42" s="438"/>
      <c r="EP42" s="438"/>
      <c r="EQ42" s="439"/>
    </row>
    <row r="43" spans="3:147" x14ac:dyDescent="0.35">
      <c r="C43" s="413">
        <v>0.59</v>
      </c>
      <c r="D43" s="420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21"/>
      <c r="AG43" s="413">
        <v>0.59</v>
      </c>
      <c r="AH43" s="428"/>
      <c r="AI43" s="414"/>
      <c r="AJ43" s="414"/>
      <c r="AK43" s="414"/>
      <c r="AL43" s="414"/>
      <c r="AM43" s="414"/>
      <c r="AN43" s="414"/>
      <c r="AO43" s="414"/>
      <c r="AP43" s="414"/>
      <c r="AQ43" s="414"/>
      <c r="AR43" s="414"/>
      <c r="AS43" s="414"/>
      <c r="AT43" s="414"/>
      <c r="AU43" s="414"/>
      <c r="AV43" s="414"/>
      <c r="AW43" s="414"/>
      <c r="AX43" s="414"/>
      <c r="AY43" s="414"/>
      <c r="AZ43" s="414"/>
      <c r="BA43" s="414"/>
      <c r="BB43" s="414"/>
      <c r="BC43" s="414"/>
      <c r="BD43" s="414"/>
      <c r="BE43" s="429"/>
      <c r="BK43" s="413">
        <v>0.59</v>
      </c>
      <c r="BL43" s="437"/>
      <c r="BM43" s="438"/>
      <c r="BN43" s="438"/>
      <c r="BO43" s="438"/>
      <c r="BP43" s="438"/>
      <c r="BQ43" s="438"/>
      <c r="BR43" s="438"/>
      <c r="BS43" s="438"/>
      <c r="BT43" s="438"/>
      <c r="BU43" s="438"/>
      <c r="BV43" s="438"/>
      <c r="BW43" s="438"/>
      <c r="BX43" s="438"/>
      <c r="BY43" s="438"/>
      <c r="BZ43" s="438"/>
      <c r="CA43" s="438"/>
      <c r="CB43" s="438"/>
      <c r="CC43" s="438"/>
      <c r="CD43" s="438"/>
      <c r="CE43" s="438"/>
      <c r="CF43" s="438"/>
      <c r="CG43" s="438"/>
      <c r="CH43" s="438"/>
      <c r="CI43" s="439"/>
      <c r="CO43" s="413">
        <v>0.59</v>
      </c>
      <c r="CP43" s="437"/>
      <c r="CQ43" s="438"/>
      <c r="CR43" s="438"/>
      <c r="CS43" s="438"/>
      <c r="CT43" s="438"/>
      <c r="CU43" s="438"/>
      <c r="CV43" s="438"/>
      <c r="CW43" s="438"/>
      <c r="CX43" s="438"/>
      <c r="CY43" s="438"/>
      <c r="CZ43" s="438"/>
      <c r="DA43" s="438"/>
      <c r="DB43" s="438"/>
      <c r="DC43" s="438"/>
      <c r="DD43" s="438"/>
      <c r="DE43" s="438"/>
      <c r="DF43" s="438"/>
      <c r="DG43" s="438"/>
      <c r="DH43" s="438"/>
      <c r="DI43" s="438"/>
      <c r="DJ43" s="438"/>
      <c r="DK43" s="438"/>
      <c r="DL43" s="438"/>
      <c r="DM43" s="439"/>
      <c r="DS43" s="413">
        <v>0.59</v>
      </c>
      <c r="DT43" s="437"/>
      <c r="DU43" s="438"/>
      <c r="DV43" s="438"/>
      <c r="DW43" s="438"/>
      <c r="DX43" s="438"/>
      <c r="DY43" s="438"/>
      <c r="DZ43" s="438"/>
      <c r="EA43" s="438"/>
      <c r="EB43" s="438"/>
      <c r="EC43" s="438"/>
      <c r="ED43" s="438"/>
      <c r="EE43" s="438"/>
      <c r="EF43" s="438"/>
      <c r="EG43" s="438"/>
      <c r="EH43" s="438"/>
      <c r="EI43" s="438"/>
      <c r="EJ43" s="438"/>
      <c r="EK43" s="438"/>
      <c r="EL43" s="438"/>
      <c r="EM43" s="438"/>
      <c r="EN43" s="438"/>
      <c r="EO43" s="438"/>
      <c r="EP43" s="438"/>
      <c r="EQ43" s="439"/>
    </row>
    <row r="44" spans="3:147" x14ac:dyDescent="0.35">
      <c r="C44" s="413">
        <v>0.57999999999999996</v>
      </c>
      <c r="D44" s="420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21"/>
      <c r="AG44" s="413">
        <v>0.57999999999999996</v>
      </c>
      <c r="AH44" s="428"/>
      <c r="AI44" s="414"/>
      <c r="AJ44" s="414"/>
      <c r="AK44" s="414"/>
      <c r="AL44" s="414"/>
      <c r="AM44" s="414"/>
      <c r="AN44" s="414"/>
      <c r="AO44" s="414"/>
      <c r="AP44" s="414"/>
      <c r="AQ44" s="414"/>
      <c r="AR44" s="414"/>
      <c r="AS44" s="414"/>
      <c r="AT44" s="414"/>
      <c r="AU44" s="414"/>
      <c r="AV44" s="414"/>
      <c r="AW44" s="414"/>
      <c r="AX44" s="414"/>
      <c r="AY44" s="414"/>
      <c r="AZ44" s="414"/>
      <c r="BA44" s="414"/>
      <c r="BB44" s="414"/>
      <c r="BC44" s="414"/>
      <c r="BD44" s="414"/>
      <c r="BE44" s="429"/>
      <c r="BK44" s="413">
        <v>0.57999999999999996</v>
      </c>
      <c r="BL44" s="437"/>
      <c r="BM44" s="438"/>
      <c r="BN44" s="438"/>
      <c r="BO44" s="438"/>
      <c r="BP44" s="438"/>
      <c r="BQ44" s="438"/>
      <c r="BR44" s="438"/>
      <c r="BS44" s="438"/>
      <c r="BT44" s="438"/>
      <c r="BU44" s="438"/>
      <c r="BV44" s="438"/>
      <c r="BW44" s="438"/>
      <c r="BX44" s="438"/>
      <c r="BY44" s="438"/>
      <c r="BZ44" s="438"/>
      <c r="CA44" s="438"/>
      <c r="CB44" s="438"/>
      <c r="CC44" s="438"/>
      <c r="CD44" s="438"/>
      <c r="CE44" s="438"/>
      <c r="CF44" s="438"/>
      <c r="CG44" s="438"/>
      <c r="CH44" s="438"/>
      <c r="CI44" s="439"/>
      <c r="CO44" s="413">
        <v>0.57999999999999996</v>
      </c>
      <c r="CP44" s="437"/>
      <c r="CQ44" s="438"/>
      <c r="CR44" s="438"/>
      <c r="CS44" s="438"/>
      <c r="CT44" s="438"/>
      <c r="CU44" s="438"/>
      <c r="CV44" s="438"/>
      <c r="CW44" s="438"/>
      <c r="CX44" s="438"/>
      <c r="CY44" s="438"/>
      <c r="CZ44" s="438"/>
      <c r="DA44" s="438"/>
      <c r="DB44" s="438"/>
      <c r="DC44" s="438"/>
      <c r="DD44" s="438"/>
      <c r="DE44" s="438"/>
      <c r="DF44" s="438"/>
      <c r="DG44" s="438"/>
      <c r="DH44" s="438"/>
      <c r="DI44" s="438"/>
      <c r="DJ44" s="438"/>
      <c r="DK44" s="438"/>
      <c r="DL44" s="438"/>
      <c r="DM44" s="439"/>
      <c r="DS44" s="413">
        <v>0.57999999999999996</v>
      </c>
      <c r="DT44" s="437"/>
      <c r="DU44" s="438"/>
      <c r="DV44" s="438"/>
      <c r="DW44" s="438"/>
      <c r="DX44" s="438"/>
      <c r="DY44" s="438"/>
      <c r="DZ44" s="438"/>
      <c r="EA44" s="438"/>
      <c r="EB44" s="438"/>
      <c r="EC44" s="438"/>
      <c r="ED44" s="438"/>
      <c r="EE44" s="438"/>
      <c r="EF44" s="438"/>
      <c r="EG44" s="438"/>
      <c r="EH44" s="438"/>
      <c r="EI44" s="438"/>
      <c r="EJ44" s="438"/>
      <c r="EK44" s="438"/>
      <c r="EL44" s="438"/>
      <c r="EM44" s="438"/>
      <c r="EN44" s="438"/>
      <c r="EO44" s="438"/>
      <c r="EP44" s="438"/>
      <c r="EQ44" s="439"/>
    </row>
    <row r="45" spans="3:147" x14ac:dyDescent="0.35">
      <c r="C45" s="413">
        <v>0.56999999999999995</v>
      </c>
      <c r="D45" s="420"/>
      <c r="E45" s="416"/>
      <c r="F45" s="416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21"/>
      <c r="AG45" s="413">
        <v>0.56999999999999995</v>
      </c>
      <c r="AH45" s="428"/>
      <c r="AI45" s="414"/>
      <c r="AJ45" s="414"/>
      <c r="AK45" s="414"/>
      <c r="AL45" s="414"/>
      <c r="AM45" s="414"/>
      <c r="AN45" s="414"/>
      <c r="AO45" s="414"/>
      <c r="AP45" s="414"/>
      <c r="AQ45" s="414"/>
      <c r="AR45" s="414"/>
      <c r="AS45" s="414"/>
      <c r="AT45" s="414"/>
      <c r="AU45" s="414"/>
      <c r="AV45" s="414"/>
      <c r="AW45" s="414"/>
      <c r="AX45" s="414"/>
      <c r="AY45" s="414"/>
      <c r="AZ45" s="414"/>
      <c r="BA45" s="414"/>
      <c r="BB45" s="414"/>
      <c r="BC45" s="414"/>
      <c r="BD45" s="414"/>
      <c r="BE45" s="429"/>
      <c r="BK45" s="413">
        <v>0.56999999999999995</v>
      </c>
      <c r="BL45" s="437"/>
      <c r="BM45" s="438"/>
      <c r="BN45" s="438"/>
      <c r="BO45" s="438"/>
      <c r="BP45" s="438"/>
      <c r="BQ45" s="438"/>
      <c r="BR45" s="438"/>
      <c r="BS45" s="438"/>
      <c r="BT45" s="438"/>
      <c r="BU45" s="438"/>
      <c r="BV45" s="438"/>
      <c r="BW45" s="438"/>
      <c r="BX45" s="438"/>
      <c r="BY45" s="438"/>
      <c r="BZ45" s="438"/>
      <c r="CA45" s="438"/>
      <c r="CB45" s="438"/>
      <c r="CC45" s="438"/>
      <c r="CD45" s="438"/>
      <c r="CE45" s="438"/>
      <c r="CF45" s="438"/>
      <c r="CG45" s="438"/>
      <c r="CH45" s="438"/>
      <c r="CI45" s="439"/>
      <c r="CO45" s="413">
        <v>0.56999999999999995</v>
      </c>
      <c r="CP45" s="437"/>
      <c r="CQ45" s="438"/>
      <c r="CR45" s="438"/>
      <c r="CS45" s="438"/>
      <c r="CT45" s="438"/>
      <c r="CU45" s="438"/>
      <c r="CV45" s="438"/>
      <c r="CW45" s="438"/>
      <c r="CX45" s="438"/>
      <c r="CY45" s="438"/>
      <c r="CZ45" s="438"/>
      <c r="DA45" s="438"/>
      <c r="DB45" s="438"/>
      <c r="DC45" s="438"/>
      <c r="DD45" s="438"/>
      <c r="DE45" s="438"/>
      <c r="DF45" s="438"/>
      <c r="DG45" s="438"/>
      <c r="DH45" s="438"/>
      <c r="DI45" s="438"/>
      <c r="DJ45" s="438"/>
      <c r="DK45" s="438"/>
      <c r="DL45" s="438"/>
      <c r="DM45" s="439"/>
      <c r="DS45" s="413">
        <v>0.56999999999999995</v>
      </c>
      <c r="DT45" s="437"/>
      <c r="DU45" s="438"/>
      <c r="DV45" s="438"/>
      <c r="DW45" s="438"/>
      <c r="DX45" s="438"/>
      <c r="DY45" s="438"/>
      <c r="DZ45" s="438"/>
      <c r="EA45" s="438"/>
      <c r="EB45" s="438"/>
      <c r="EC45" s="438"/>
      <c r="ED45" s="438"/>
      <c r="EE45" s="438"/>
      <c r="EF45" s="438"/>
      <c r="EG45" s="438"/>
      <c r="EH45" s="438"/>
      <c r="EI45" s="438"/>
      <c r="EJ45" s="438"/>
      <c r="EK45" s="438"/>
      <c r="EL45" s="438"/>
      <c r="EM45" s="438"/>
      <c r="EN45" s="438"/>
      <c r="EO45" s="438"/>
      <c r="EP45" s="438"/>
      <c r="EQ45" s="439"/>
    </row>
    <row r="46" spans="3:147" x14ac:dyDescent="0.35">
      <c r="C46" s="413">
        <v>0.56000000000000005</v>
      </c>
      <c r="D46" s="420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21"/>
      <c r="AG46" s="413">
        <v>0.56000000000000005</v>
      </c>
      <c r="AH46" s="428"/>
      <c r="AI46" s="414"/>
      <c r="AJ46" s="414"/>
      <c r="AK46" s="414"/>
      <c r="AL46" s="414"/>
      <c r="AM46" s="414"/>
      <c r="AN46" s="414"/>
      <c r="AO46" s="414"/>
      <c r="AP46" s="414"/>
      <c r="AQ46" s="414"/>
      <c r="AR46" s="414"/>
      <c r="AS46" s="414"/>
      <c r="AT46" s="414"/>
      <c r="AU46" s="414"/>
      <c r="AV46" s="414"/>
      <c r="AW46" s="414"/>
      <c r="AX46" s="414"/>
      <c r="AY46" s="414"/>
      <c r="AZ46" s="414"/>
      <c r="BA46" s="414"/>
      <c r="BB46" s="414"/>
      <c r="BC46" s="414"/>
      <c r="BD46" s="414"/>
      <c r="BE46" s="429"/>
      <c r="BK46" s="413">
        <v>0.56000000000000005</v>
      </c>
      <c r="BL46" s="437"/>
      <c r="BM46" s="438"/>
      <c r="BN46" s="438"/>
      <c r="BO46" s="438"/>
      <c r="BP46" s="438"/>
      <c r="BQ46" s="438"/>
      <c r="BR46" s="438"/>
      <c r="BS46" s="438"/>
      <c r="BT46" s="438"/>
      <c r="BU46" s="438"/>
      <c r="BV46" s="438"/>
      <c r="BW46" s="438"/>
      <c r="BX46" s="438"/>
      <c r="BY46" s="438"/>
      <c r="BZ46" s="438"/>
      <c r="CA46" s="438"/>
      <c r="CB46" s="438"/>
      <c r="CC46" s="438"/>
      <c r="CD46" s="438"/>
      <c r="CE46" s="438"/>
      <c r="CF46" s="438"/>
      <c r="CG46" s="438"/>
      <c r="CH46" s="438"/>
      <c r="CI46" s="439"/>
      <c r="CO46" s="413">
        <v>0.56000000000000005</v>
      </c>
      <c r="CP46" s="437"/>
      <c r="CQ46" s="438"/>
      <c r="CR46" s="438"/>
      <c r="CS46" s="438"/>
      <c r="CT46" s="438"/>
      <c r="CU46" s="438"/>
      <c r="CV46" s="438"/>
      <c r="CW46" s="438"/>
      <c r="CX46" s="438"/>
      <c r="CY46" s="438"/>
      <c r="CZ46" s="438"/>
      <c r="DA46" s="438"/>
      <c r="DB46" s="438"/>
      <c r="DC46" s="438"/>
      <c r="DD46" s="438"/>
      <c r="DE46" s="438"/>
      <c r="DF46" s="438"/>
      <c r="DG46" s="438"/>
      <c r="DH46" s="438"/>
      <c r="DI46" s="438"/>
      <c r="DJ46" s="438"/>
      <c r="DK46" s="438"/>
      <c r="DL46" s="438"/>
      <c r="DM46" s="439"/>
      <c r="DS46" s="413">
        <v>0.56000000000000005</v>
      </c>
      <c r="DT46" s="437"/>
      <c r="DU46" s="438"/>
      <c r="DV46" s="438"/>
      <c r="DW46" s="438"/>
      <c r="DX46" s="438"/>
      <c r="DY46" s="438"/>
      <c r="DZ46" s="438"/>
      <c r="EA46" s="438"/>
      <c r="EB46" s="438"/>
      <c r="EC46" s="438"/>
      <c r="ED46" s="438"/>
      <c r="EE46" s="438"/>
      <c r="EF46" s="438"/>
      <c r="EG46" s="438"/>
      <c r="EH46" s="438"/>
      <c r="EI46" s="438"/>
      <c r="EJ46" s="438"/>
      <c r="EK46" s="438"/>
      <c r="EL46" s="438"/>
      <c r="EM46" s="438"/>
      <c r="EN46" s="438"/>
      <c r="EO46" s="438"/>
      <c r="EP46" s="438"/>
      <c r="EQ46" s="439"/>
    </row>
    <row r="47" spans="3:147" x14ac:dyDescent="0.35">
      <c r="C47" s="413">
        <v>0.55000000000000004</v>
      </c>
      <c r="D47" s="420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21"/>
      <c r="AG47" s="413">
        <v>0.55000000000000004</v>
      </c>
      <c r="AH47" s="428"/>
      <c r="AI47" s="414"/>
      <c r="AJ47" s="414"/>
      <c r="AK47" s="414"/>
      <c r="AL47" s="414"/>
      <c r="AM47" s="414"/>
      <c r="AN47" s="414"/>
      <c r="AO47" s="414"/>
      <c r="AP47" s="414"/>
      <c r="AQ47" s="414"/>
      <c r="AR47" s="414"/>
      <c r="AS47" s="414"/>
      <c r="AT47" s="414"/>
      <c r="AU47" s="414"/>
      <c r="AV47" s="414"/>
      <c r="AW47" s="414"/>
      <c r="AX47" s="414"/>
      <c r="AY47" s="414"/>
      <c r="AZ47" s="414"/>
      <c r="BA47" s="414"/>
      <c r="BB47" s="414"/>
      <c r="BC47" s="414"/>
      <c r="BD47" s="414"/>
      <c r="BE47" s="429"/>
      <c r="BK47" s="413">
        <v>0.55000000000000004</v>
      </c>
      <c r="BL47" s="437"/>
      <c r="BM47" s="438"/>
      <c r="BN47" s="438"/>
      <c r="BO47" s="438"/>
      <c r="BP47" s="438"/>
      <c r="BQ47" s="438"/>
      <c r="BR47" s="438"/>
      <c r="BS47" s="438"/>
      <c r="BT47" s="438"/>
      <c r="BU47" s="438"/>
      <c r="BV47" s="438"/>
      <c r="BW47" s="438"/>
      <c r="BX47" s="438"/>
      <c r="BY47" s="438"/>
      <c r="BZ47" s="438"/>
      <c r="CA47" s="438"/>
      <c r="CB47" s="438"/>
      <c r="CC47" s="438"/>
      <c r="CD47" s="438"/>
      <c r="CE47" s="438"/>
      <c r="CF47" s="438"/>
      <c r="CG47" s="438"/>
      <c r="CH47" s="438"/>
      <c r="CI47" s="439"/>
      <c r="CO47" s="413">
        <v>0.55000000000000004</v>
      </c>
      <c r="CP47" s="437"/>
      <c r="CQ47" s="438"/>
      <c r="CR47" s="438"/>
      <c r="CS47" s="438"/>
      <c r="CT47" s="438"/>
      <c r="CU47" s="438"/>
      <c r="CV47" s="438"/>
      <c r="CW47" s="438"/>
      <c r="CX47" s="438"/>
      <c r="CY47" s="438"/>
      <c r="CZ47" s="438"/>
      <c r="DA47" s="438"/>
      <c r="DB47" s="438"/>
      <c r="DC47" s="438"/>
      <c r="DD47" s="438"/>
      <c r="DE47" s="438"/>
      <c r="DF47" s="438"/>
      <c r="DG47" s="438"/>
      <c r="DH47" s="438"/>
      <c r="DI47" s="438"/>
      <c r="DJ47" s="438"/>
      <c r="DK47" s="438"/>
      <c r="DL47" s="438"/>
      <c r="DM47" s="439"/>
      <c r="DS47" s="413">
        <v>0.55000000000000004</v>
      </c>
      <c r="DT47" s="437"/>
      <c r="DU47" s="438"/>
      <c r="DV47" s="438"/>
      <c r="DW47" s="438"/>
      <c r="DX47" s="438"/>
      <c r="DY47" s="438"/>
      <c r="DZ47" s="438"/>
      <c r="EA47" s="438"/>
      <c r="EB47" s="438"/>
      <c r="EC47" s="438"/>
      <c r="ED47" s="438"/>
      <c r="EE47" s="438"/>
      <c r="EF47" s="438"/>
      <c r="EG47" s="438"/>
      <c r="EH47" s="438"/>
      <c r="EI47" s="438"/>
      <c r="EJ47" s="438"/>
      <c r="EK47" s="438"/>
      <c r="EL47" s="438"/>
      <c r="EM47" s="438"/>
      <c r="EN47" s="438"/>
      <c r="EO47" s="438"/>
      <c r="EP47" s="438"/>
      <c r="EQ47" s="439"/>
    </row>
    <row r="48" spans="3:147" x14ac:dyDescent="0.35">
      <c r="C48" s="413">
        <v>0.54</v>
      </c>
      <c r="D48" s="420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21"/>
      <c r="AG48" s="413">
        <v>0.54</v>
      </c>
      <c r="AH48" s="428"/>
      <c r="AI48" s="414"/>
      <c r="AJ48" s="414"/>
      <c r="AK48" s="414"/>
      <c r="AL48" s="414"/>
      <c r="AM48" s="414"/>
      <c r="AN48" s="414"/>
      <c r="AO48" s="414"/>
      <c r="AP48" s="414"/>
      <c r="AQ48" s="414"/>
      <c r="AR48" s="414"/>
      <c r="AS48" s="414"/>
      <c r="AT48" s="414"/>
      <c r="AU48" s="414"/>
      <c r="AV48" s="414"/>
      <c r="AW48" s="414"/>
      <c r="AX48" s="414"/>
      <c r="AY48" s="414"/>
      <c r="AZ48" s="414"/>
      <c r="BA48" s="414"/>
      <c r="BB48" s="414"/>
      <c r="BC48" s="414"/>
      <c r="BD48" s="414"/>
      <c r="BE48" s="429"/>
      <c r="BK48" s="413">
        <v>0.54</v>
      </c>
      <c r="BL48" s="437"/>
      <c r="BM48" s="438"/>
      <c r="BN48" s="438"/>
      <c r="BO48" s="438"/>
      <c r="BP48" s="438"/>
      <c r="BQ48" s="438"/>
      <c r="BR48" s="438"/>
      <c r="BS48" s="438"/>
      <c r="BT48" s="438"/>
      <c r="BU48" s="438"/>
      <c r="BV48" s="438"/>
      <c r="BW48" s="438"/>
      <c r="BX48" s="438"/>
      <c r="BY48" s="438"/>
      <c r="BZ48" s="438"/>
      <c r="CA48" s="438"/>
      <c r="CB48" s="438"/>
      <c r="CC48" s="438"/>
      <c r="CD48" s="438"/>
      <c r="CE48" s="438"/>
      <c r="CF48" s="438"/>
      <c r="CG48" s="438"/>
      <c r="CH48" s="438"/>
      <c r="CI48" s="439"/>
      <c r="CO48" s="413">
        <v>0.54</v>
      </c>
      <c r="CP48" s="437"/>
      <c r="CQ48" s="438"/>
      <c r="CR48" s="438"/>
      <c r="CS48" s="438"/>
      <c r="CT48" s="438"/>
      <c r="CU48" s="438"/>
      <c r="CV48" s="438"/>
      <c r="CW48" s="438"/>
      <c r="CX48" s="438"/>
      <c r="CY48" s="438"/>
      <c r="CZ48" s="438"/>
      <c r="DA48" s="438"/>
      <c r="DB48" s="438"/>
      <c r="DC48" s="438"/>
      <c r="DD48" s="438"/>
      <c r="DE48" s="438"/>
      <c r="DF48" s="438"/>
      <c r="DG48" s="438"/>
      <c r="DH48" s="438"/>
      <c r="DI48" s="438"/>
      <c r="DJ48" s="438"/>
      <c r="DK48" s="438"/>
      <c r="DL48" s="438"/>
      <c r="DM48" s="439"/>
      <c r="DS48" s="413">
        <v>0.54</v>
      </c>
      <c r="DT48" s="437"/>
      <c r="DU48" s="438"/>
      <c r="DV48" s="438"/>
      <c r="DW48" s="438"/>
      <c r="DX48" s="438"/>
      <c r="DY48" s="438"/>
      <c r="DZ48" s="438"/>
      <c r="EA48" s="438"/>
      <c r="EB48" s="438"/>
      <c r="EC48" s="438"/>
      <c r="ED48" s="438"/>
      <c r="EE48" s="438"/>
      <c r="EF48" s="438"/>
      <c r="EG48" s="438"/>
      <c r="EH48" s="438"/>
      <c r="EI48" s="438"/>
      <c r="EJ48" s="438"/>
      <c r="EK48" s="438"/>
      <c r="EL48" s="438"/>
      <c r="EM48" s="438"/>
      <c r="EN48" s="438"/>
      <c r="EO48" s="438"/>
      <c r="EP48" s="438"/>
      <c r="EQ48" s="439"/>
    </row>
    <row r="49" spans="2:147" x14ac:dyDescent="0.35">
      <c r="C49" s="413">
        <v>0.53</v>
      </c>
      <c r="D49" s="420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21"/>
      <c r="AG49" s="413">
        <v>0.53</v>
      </c>
      <c r="AH49" s="428"/>
      <c r="AI49" s="414"/>
      <c r="AJ49" s="414"/>
      <c r="AK49" s="414"/>
      <c r="AL49" s="414"/>
      <c r="AM49" s="414"/>
      <c r="AN49" s="414"/>
      <c r="AO49" s="414"/>
      <c r="AP49" s="414"/>
      <c r="AQ49" s="414"/>
      <c r="AR49" s="414"/>
      <c r="AS49" s="414"/>
      <c r="AT49" s="414"/>
      <c r="AU49" s="414"/>
      <c r="AV49" s="414"/>
      <c r="AW49" s="414"/>
      <c r="AX49" s="414"/>
      <c r="AY49" s="414"/>
      <c r="AZ49" s="414"/>
      <c r="BA49" s="414"/>
      <c r="BB49" s="414"/>
      <c r="BC49" s="414"/>
      <c r="BD49" s="414"/>
      <c r="BE49" s="429"/>
      <c r="BK49" s="413">
        <v>0.53</v>
      </c>
      <c r="BL49" s="437"/>
      <c r="BM49" s="438"/>
      <c r="BN49" s="438"/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438"/>
      <c r="CA49" s="438"/>
      <c r="CB49" s="438"/>
      <c r="CC49" s="438"/>
      <c r="CD49" s="438"/>
      <c r="CE49" s="438"/>
      <c r="CF49" s="438"/>
      <c r="CG49" s="438"/>
      <c r="CH49" s="438"/>
      <c r="CI49" s="439"/>
      <c r="CO49" s="413">
        <v>0.53</v>
      </c>
      <c r="CP49" s="437"/>
      <c r="CQ49" s="438"/>
      <c r="CR49" s="438"/>
      <c r="CS49" s="438"/>
      <c r="CT49" s="438"/>
      <c r="CU49" s="438"/>
      <c r="CV49" s="438"/>
      <c r="CW49" s="438"/>
      <c r="CX49" s="438"/>
      <c r="CY49" s="438"/>
      <c r="CZ49" s="438"/>
      <c r="DA49" s="438"/>
      <c r="DB49" s="438"/>
      <c r="DC49" s="438"/>
      <c r="DD49" s="438"/>
      <c r="DE49" s="438"/>
      <c r="DF49" s="438"/>
      <c r="DG49" s="438"/>
      <c r="DH49" s="438"/>
      <c r="DI49" s="438"/>
      <c r="DJ49" s="438"/>
      <c r="DK49" s="438"/>
      <c r="DL49" s="438"/>
      <c r="DM49" s="439"/>
      <c r="DS49" s="413">
        <v>0.53</v>
      </c>
      <c r="DT49" s="437"/>
      <c r="DU49" s="438"/>
      <c r="DV49" s="438"/>
      <c r="DW49" s="438"/>
      <c r="DX49" s="438"/>
      <c r="DY49" s="438"/>
      <c r="DZ49" s="438"/>
      <c r="EA49" s="438"/>
      <c r="EB49" s="438"/>
      <c r="EC49" s="438"/>
      <c r="ED49" s="438"/>
      <c r="EE49" s="438"/>
      <c r="EF49" s="438"/>
      <c r="EG49" s="438"/>
      <c r="EH49" s="438"/>
      <c r="EI49" s="438"/>
      <c r="EJ49" s="438"/>
      <c r="EK49" s="438"/>
      <c r="EL49" s="438"/>
      <c r="EM49" s="438"/>
      <c r="EN49" s="438"/>
      <c r="EO49" s="438"/>
      <c r="EP49" s="438"/>
      <c r="EQ49" s="439"/>
    </row>
    <row r="50" spans="2:147" x14ac:dyDescent="0.35">
      <c r="C50" s="413">
        <v>0.52</v>
      </c>
      <c r="D50" s="420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21"/>
      <c r="AG50" s="413">
        <v>0.52</v>
      </c>
      <c r="AH50" s="428"/>
      <c r="AI50" s="414"/>
      <c r="AJ50" s="414"/>
      <c r="AK50" s="414"/>
      <c r="AL50" s="414"/>
      <c r="AM50" s="414"/>
      <c r="AN50" s="414"/>
      <c r="AO50" s="414"/>
      <c r="AP50" s="414"/>
      <c r="AQ50" s="414"/>
      <c r="AR50" s="414"/>
      <c r="AS50" s="414"/>
      <c r="AT50" s="414"/>
      <c r="AU50" s="414"/>
      <c r="AV50" s="414"/>
      <c r="AW50" s="414"/>
      <c r="AX50" s="414"/>
      <c r="AY50" s="414"/>
      <c r="AZ50" s="414"/>
      <c r="BA50" s="414"/>
      <c r="BB50" s="414"/>
      <c r="BC50" s="414"/>
      <c r="BD50" s="414"/>
      <c r="BE50" s="429"/>
      <c r="BK50" s="413">
        <v>0.52</v>
      </c>
      <c r="BL50" s="437"/>
      <c r="BM50" s="438"/>
      <c r="BN50" s="438"/>
      <c r="BO50" s="438"/>
      <c r="BP50" s="438"/>
      <c r="BQ50" s="438"/>
      <c r="BR50" s="438"/>
      <c r="BS50" s="438"/>
      <c r="BT50" s="438"/>
      <c r="BU50" s="438"/>
      <c r="BV50" s="438"/>
      <c r="BW50" s="438"/>
      <c r="BX50" s="438"/>
      <c r="BY50" s="438"/>
      <c r="BZ50" s="438"/>
      <c r="CA50" s="438"/>
      <c r="CB50" s="438"/>
      <c r="CC50" s="438"/>
      <c r="CD50" s="438"/>
      <c r="CE50" s="438"/>
      <c r="CF50" s="438"/>
      <c r="CG50" s="438"/>
      <c r="CH50" s="438"/>
      <c r="CI50" s="439"/>
      <c r="CO50" s="413">
        <v>0.52</v>
      </c>
      <c r="CP50" s="437"/>
      <c r="CQ50" s="438"/>
      <c r="CR50" s="438"/>
      <c r="CS50" s="438"/>
      <c r="CT50" s="438"/>
      <c r="CU50" s="438"/>
      <c r="CV50" s="438"/>
      <c r="CW50" s="438"/>
      <c r="CX50" s="438"/>
      <c r="CY50" s="438"/>
      <c r="CZ50" s="438"/>
      <c r="DA50" s="438"/>
      <c r="DB50" s="438"/>
      <c r="DC50" s="438"/>
      <c r="DD50" s="438"/>
      <c r="DE50" s="438"/>
      <c r="DF50" s="438"/>
      <c r="DG50" s="438"/>
      <c r="DH50" s="438"/>
      <c r="DI50" s="438"/>
      <c r="DJ50" s="438"/>
      <c r="DK50" s="438"/>
      <c r="DL50" s="438"/>
      <c r="DM50" s="439"/>
      <c r="DS50" s="413">
        <v>0.52</v>
      </c>
      <c r="DT50" s="437"/>
      <c r="DU50" s="438"/>
      <c r="DV50" s="438"/>
      <c r="DW50" s="438"/>
      <c r="DX50" s="438"/>
      <c r="DY50" s="438"/>
      <c r="DZ50" s="438"/>
      <c r="EA50" s="438"/>
      <c r="EB50" s="438"/>
      <c r="EC50" s="438"/>
      <c r="ED50" s="438"/>
      <c r="EE50" s="438"/>
      <c r="EF50" s="438"/>
      <c r="EG50" s="438"/>
      <c r="EH50" s="438"/>
      <c r="EI50" s="438"/>
      <c r="EJ50" s="438"/>
      <c r="EK50" s="438"/>
      <c r="EL50" s="438"/>
      <c r="EM50" s="438"/>
      <c r="EN50" s="438"/>
      <c r="EO50" s="438"/>
      <c r="EP50" s="438"/>
      <c r="EQ50" s="439"/>
    </row>
    <row r="51" spans="2:147" x14ac:dyDescent="0.35">
      <c r="C51" s="413">
        <v>0.51</v>
      </c>
      <c r="D51" s="420"/>
      <c r="E51" s="416"/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21"/>
      <c r="AG51" s="413">
        <v>0.51</v>
      </c>
      <c r="AH51" s="428"/>
      <c r="AI51" s="414"/>
      <c r="AJ51" s="414"/>
      <c r="AK51" s="414"/>
      <c r="AL51" s="414"/>
      <c r="AM51" s="414"/>
      <c r="AN51" s="414"/>
      <c r="AO51" s="414"/>
      <c r="AP51" s="414"/>
      <c r="AQ51" s="414"/>
      <c r="AR51" s="414"/>
      <c r="AS51" s="414"/>
      <c r="AT51" s="414"/>
      <c r="AU51" s="414"/>
      <c r="AV51" s="414"/>
      <c r="AW51" s="414"/>
      <c r="AX51" s="414"/>
      <c r="AY51" s="414"/>
      <c r="AZ51" s="414"/>
      <c r="BA51" s="414"/>
      <c r="BB51" s="414"/>
      <c r="BC51" s="414"/>
      <c r="BD51" s="414"/>
      <c r="BE51" s="429"/>
      <c r="BK51" s="413">
        <v>0.51</v>
      </c>
      <c r="BL51" s="437"/>
      <c r="BM51" s="438"/>
      <c r="BN51" s="438"/>
      <c r="BO51" s="438"/>
      <c r="BP51" s="438"/>
      <c r="BQ51" s="438"/>
      <c r="BR51" s="438"/>
      <c r="BS51" s="438"/>
      <c r="BT51" s="438"/>
      <c r="BU51" s="438"/>
      <c r="BV51" s="438"/>
      <c r="BW51" s="438"/>
      <c r="BX51" s="438"/>
      <c r="BY51" s="438"/>
      <c r="BZ51" s="438"/>
      <c r="CA51" s="438"/>
      <c r="CB51" s="438"/>
      <c r="CC51" s="438"/>
      <c r="CD51" s="438"/>
      <c r="CE51" s="438"/>
      <c r="CF51" s="438"/>
      <c r="CG51" s="438"/>
      <c r="CH51" s="438"/>
      <c r="CI51" s="439"/>
      <c r="CO51" s="413">
        <v>0.51</v>
      </c>
      <c r="CP51" s="437"/>
      <c r="CQ51" s="438"/>
      <c r="CR51" s="438"/>
      <c r="CS51" s="438"/>
      <c r="CT51" s="438"/>
      <c r="CU51" s="438"/>
      <c r="CV51" s="438"/>
      <c r="CW51" s="438"/>
      <c r="CX51" s="438"/>
      <c r="CY51" s="438"/>
      <c r="CZ51" s="438"/>
      <c r="DA51" s="438"/>
      <c r="DB51" s="438"/>
      <c r="DC51" s="438"/>
      <c r="DD51" s="438"/>
      <c r="DE51" s="438"/>
      <c r="DF51" s="438"/>
      <c r="DG51" s="438"/>
      <c r="DH51" s="438"/>
      <c r="DI51" s="438"/>
      <c r="DJ51" s="438"/>
      <c r="DK51" s="438"/>
      <c r="DL51" s="438"/>
      <c r="DM51" s="439"/>
      <c r="DS51" s="413">
        <v>0.51</v>
      </c>
      <c r="DT51" s="437"/>
      <c r="DU51" s="438"/>
      <c r="DV51" s="438"/>
      <c r="DW51" s="438"/>
      <c r="DX51" s="438"/>
      <c r="DY51" s="438"/>
      <c r="DZ51" s="438"/>
      <c r="EA51" s="438"/>
      <c r="EB51" s="438"/>
      <c r="EC51" s="438"/>
      <c r="ED51" s="438"/>
      <c r="EE51" s="438"/>
      <c r="EF51" s="438"/>
      <c r="EG51" s="438"/>
      <c r="EH51" s="438"/>
      <c r="EI51" s="438"/>
      <c r="EJ51" s="438"/>
      <c r="EK51" s="438"/>
      <c r="EL51" s="438"/>
      <c r="EM51" s="438"/>
      <c r="EN51" s="438"/>
      <c r="EO51" s="438"/>
      <c r="EP51" s="438"/>
      <c r="EQ51" s="439"/>
    </row>
    <row r="52" spans="2:147" x14ac:dyDescent="0.35">
      <c r="B52" s="767" t="s">
        <v>123</v>
      </c>
      <c r="C52" s="413">
        <v>0.5</v>
      </c>
      <c r="D52" s="420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21"/>
      <c r="AF52" s="767" t="s">
        <v>123</v>
      </c>
      <c r="AG52" s="413">
        <v>0.5</v>
      </c>
      <c r="AH52" s="428"/>
      <c r="AI52" s="414"/>
      <c r="AJ52" s="414"/>
      <c r="AK52" s="414"/>
      <c r="AL52" s="414"/>
      <c r="AM52" s="414"/>
      <c r="AN52" s="414"/>
      <c r="AO52" s="414"/>
      <c r="AP52" s="414"/>
      <c r="AQ52" s="414"/>
      <c r="AR52" s="414"/>
      <c r="AS52" s="414"/>
      <c r="AT52" s="414"/>
      <c r="AU52" s="414"/>
      <c r="AV52" s="414"/>
      <c r="AW52" s="414"/>
      <c r="AX52" s="414"/>
      <c r="AY52" s="414"/>
      <c r="AZ52" s="414"/>
      <c r="BA52" s="414"/>
      <c r="BB52" s="414"/>
      <c r="BC52" s="414"/>
      <c r="BD52" s="414"/>
      <c r="BE52" s="429"/>
      <c r="BJ52" s="767" t="s">
        <v>123</v>
      </c>
      <c r="BK52" s="413">
        <v>0.5</v>
      </c>
      <c r="BL52" s="437"/>
      <c r="BM52" s="438"/>
      <c r="BN52" s="438"/>
      <c r="BO52" s="438"/>
      <c r="BP52" s="438"/>
      <c r="BQ52" s="438"/>
      <c r="BR52" s="438"/>
      <c r="BS52" s="438"/>
      <c r="BT52" s="438"/>
      <c r="BU52" s="438"/>
      <c r="BV52" s="438"/>
      <c r="BW52" s="438"/>
      <c r="BX52" s="438"/>
      <c r="BY52" s="438"/>
      <c r="BZ52" s="438"/>
      <c r="CA52" s="438"/>
      <c r="CB52" s="438"/>
      <c r="CC52" s="438"/>
      <c r="CD52" s="438"/>
      <c r="CE52" s="438"/>
      <c r="CF52" s="438"/>
      <c r="CG52" s="438"/>
      <c r="CH52" s="438"/>
      <c r="CI52" s="439"/>
      <c r="CN52" s="767" t="s">
        <v>123</v>
      </c>
      <c r="CO52" s="413">
        <v>0.5</v>
      </c>
      <c r="CP52" s="437"/>
      <c r="CQ52" s="438"/>
      <c r="CR52" s="438"/>
      <c r="CS52" s="438"/>
      <c r="CT52" s="438"/>
      <c r="CU52" s="438"/>
      <c r="CV52" s="438"/>
      <c r="CW52" s="438"/>
      <c r="CX52" s="438"/>
      <c r="CY52" s="438"/>
      <c r="CZ52" s="438"/>
      <c r="DA52" s="438"/>
      <c r="DB52" s="438"/>
      <c r="DC52" s="438"/>
      <c r="DD52" s="438"/>
      <c r="DE52" s="438"/>
      <c r="DF52" s="438"/>
      <c r="DG52" s="438"/>
      <c r="DH52" s="438"/>
      <c r="DI52" s="438"/>
      <c r="DJ52" s="438"/>
      <c r="DK52" s="438"/>
      <c r="DL52" s="438"/>
      <c r="DM52" s="439"/>
      <c r="DR52" s="767" t="s">
        <v>123</v>
      </c>
      <c r="DS52" s="413">
        <v>0.5</v>
      </c>
      <c r="DT52" s="437"/>
      <c r="DU52" s="438"/>
      <c r="DV52" s="438"/>
      <c r="DW52" s="438"/>
      <c r="DX52" s="438"/>
      <c r="DY52" s="438"/>
      <c r="DZ52" s="438"/>
      <c r="EA52" s="438"/>
      <c r="EB52" s="438"/>
      <c r="EC52" s="438"/>
      <c r="ED52" s="438"/>
      <c r="EE52" s="438"/>
      <c r="EF52" s="438"/>
      <c r="EG52" s="438"/>
      <c r="EH52" s="438"/>
      <c r="EI52" s="438"/>
      <c r="EJ52" s="438"/>
      <c r="EK52" s="438"/>
      <c r="EL52" s="438"/>
      <c r="EM52" s="438"/>
      <c r="EN52" s="438"/>
      <c r="EO52" s="438"/>
      <c r="EP52" s="438"/>
      <c r="EQ52" s="439"/>
    </row>
    <row r="53" spans="2:147" x14ac:dyDescent="0.35">
      <c r="B53" s="767"/>
      <c r="C53" s="413">
        <v>0.49</v>
      </c>
      <c r="D53" s="420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21"/>
      <c r="AF53" s="767"/>
      <c r="AG53" s="413">
        <v>0.49</v>
      </c>
      <c r="AH53" s="428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4"/>
      <c r="AX53" s="414"/>
      <c r="AY53" s="414"/>
      <c r="AZ53" s="414"/>
      <c r="BA53" s="414"/>
      <c r="BB53" s="414"/>
      <c r="BC53" s="414"/>
      <c r="BD53" s="414"/>
      <c r="BE53" s="429"/>
      <c r="BJ53" s="767"/>
      <c r="BK53" s="413">
        <v>0.49</v>
      </c>
      <c r="BL53" s="437"/>
      <c r="BM53" s="438"/>
      <c r="BN53" s="438"/>
      <c r="BO53" s="438"/>
      <c r="BP53" s="438"/>
      <c r="BQ53" s="438"/>
      <c r="BR53" s="438"/>
      <c r="BS53" s="438"/>
      <c r="BT53" s="438"/>
      <c r="BU53" s="438"/>
      <c r="BV53" s="438"/>
      <c r="BW53" s="438"/>
      <c r="BX53" s="438"/>
      <c r="BY53" s="438"/>
      <c r="BZ53" s="438"/>
      <c r="CA53" s="438"/>
      <c r="CB53" s="438"/>
      <c r="CC53" s="438"/>
      <c r="CD53" s="438"/>
      <c r="CE53" s="438"/>
      <c r="CF53" s="438"/>
      <c r="CG53" s="438"/>
      <c r="CH53" s="438"/>
      <c r="CI53" s="439"/>
      <c r="CN53" s="767"/>
      <c r="CO53" s="413">
        <v>0.49</v>
      </c>
      <c r="CP53" s="437"/>
      <c r="CQ53" s="438"/>
      <c r="CR53" s="438"/>
      <c r="CS53" s="438"/>
      <c r="CT53" s="438"/>
      <c r="CU53" s="438"/>
      <c r="CV53" s="438"/>
      <c r="CW53" s="438"/>
      <c r="CX53" s="438"/>
      <c r="CY53" s="438"/>
      <c r="CZ53" s="438"/>
      <c r="DA53" s="438"/>
      <c r="DB53" s="438"/>
      <c r="DC53" s="438"/>
      <c r="DD53" s="438"/>
      <c r="DE53" s="438"/>
      <c r="DF53" s="438"/>
      <c r="DG53" s="438"/>
      <c r="DH53" s="438"/>
      <c r="DI53" s="438"/>
      <c r="DJ53" s="438"/>
      <c r="DK53" s="438"/>
      <c r="DL53" s="438"/>
      <c r="DM53" s="439"/>
      <c r="DR53" s="767"/>
      <c r="DS53" s="413">
        <v>0.49</v>
      </c>
      <c r="DT53" s="437"/>
      <c r="DU53" s="438"/>
      <c r="DV53" s="438"/>
      <c r="DW53" s="438"/>
      <c r="DX53" s="438"/>
      <c r="DY53" s="438"/>
      <c r="DZ53" s="438"/>
      <c r="EA53" s="438"/>
      <c r="EB53" s="438"/>
      <c r="EC53" s="438"/>
      <c r="ED53" s="438"/>
      <c r="EE53" s="438"/>
      <c r="EF53" s="438"/>
      <c r="EG53" s="438"/>
      <c r="EH53" s="438"/>
      <c r="EI53" s="438"/>
      <c r="EJ53" s="438"/>
      <c r="EK53" s="438"/>
      <c r="EL53" s="438"/>
      <c r="EM53" s="438"/>
      <c r="EN53" s="438"/>
      <c r="EO53" s="438"/>
      <c r="EP53" s="438"/>
      <c r="EQ53" s="439"/>
    </row>
    <row r="54" spans="2:147" x14ac:dyDescent="0.35">
      <c r="B54" s="767"/>
      <c r="C54" s="413">
        <v>0.48</v>
      </c>
      <c r="D54" s="420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21"/>
      <c r="AF54" s="767"/>
      <c r="AG54" s="413">
        <v>0.48</v>
      </c>
      <c r="AH54" s="428"/>
      <c r="AI54" s="414"/>
      <c r="AJ54" s="414"/>
      <c r="AK54" s="414"/>
      <c r="AL54" s="414"/>
      <c r="AM54" s="414"/>
      <c r="AN54" s="414"/>
      <c r="AO54" s="414"/>
      <c r="AP54" s="414"/>
      <c r="AQ54" s="414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29"/>
      <c r="BJ54" s="767"/>
      <c r="BK54" s="413">
        <v>0.48</v>
      </c>
      <c r="BL54" s="437"/>
      <c r="BM54" s="438"/>
      <c r="BN54" s="438"/>
      <c r="BO54" s="438"/>
      <c r="BP54" s="438"/>
      <c r="BQ54" s="438"/>
      <c r="BR54" s="438"/>
      <c r="BS54" s="438"/>
      <c r="BT54" s="438"/>
      <c r="BU54" s="438"/>
      <c r="BV54" s="438"/>
      <c r="BW54" s="438"/>
      <c r="BX54" s="438"/>
      <c r="BY54" s="438"/>
      <c r="BZ54" s="438"/>
      <c r="CA54" s="438"/>
      <c r="CB54" s="438"/>
      <c r="CC54" s="438"/>
      <c r="CD54" s="438"/>
      <c r="CE54" s="438"/>
      <c r="CF54" s="438"/>
      <c r="CG54" s="438"/>
      <c r="CH54" s="438"/>
      <c r="CI54" s="439"/>
      <c r="CN54" s="767"/>
      <c r="CO54" s="413">
        <v>0.48</v>
      </c>
      <c r="CP54" s="437"/>
      <c r="CQ54" s="438"/>
      <c r="CR54" s="438"/>
      <c r="CS54" s="438"/>
      <c r="CT54" s="438"/>
      <c r="CU54" s="438"/>
      <c r="CV54" s="438"/>
      <c r="CW54" s="438"/>
      <c r="CX54" s="438"/>
      <c r="CY54" s="438"/>
      <c r="CZ54" s="438"/>
      <c r="DA54" s="438"/>
      <c r="DB54" s="438"/>
      <c r="DC54" s="438"/>
      <c r="DD54" s="438"/>
      <c r="DE54" s="438"/>
      <c r="DF54" s="438"/>
      <c r="DG54" s="438"/>
      <c r="DH54" s="438"/>
      <c r="DI54" s="438"/>
      <c r="DJ54" s="438"/>
      <c r="DK54" s="438"/>
      <c r="DL54" s="438"/>
      <c r="DM54" s="439"/>
      <c r="DR54" s="767"/>
      <c r="DS54" s="413">
        <v>0.48</v>
      </c>
      <c r="DT54" s="437"/>
      <c r="DU54" s="438"/>
      <c r="DV54" s="438"/>
      <c r="DW54" s="438"/>
      <c r="DX54" s="438"/>
      <c r="DY54" s="438"/>
      <c r="DZ54" s="438"/>
      <c r="EA54" s="438"/>
      <c r="EB54" s="438"/>
      <c r="EC54" s="438"/>
      <c r="ED54" s="438"/>
      <c r="EE54" s="438"/>
      <c r="EF54" s="438"/>
      <c r="EG54" s="438"/>
      <c r="EH54" s="438"/>
      <c r="EI54" s="438"/>
      <c r="EJ54" s="438"/>
      <c r="EK54" s="438"/>
      <c r="EL54" s="438"/>
      <c r="EM54" s="438"/>
      <c r="EN54" s="438"/>
      <c r="EO54" s="438"/>
      <c r="EP54" s="438"/>
      <c r="EQ54" s="439"/>
    </row>
    <row r="55" spans="2:147" x14ac:dyDescent="0.35">
      <c r="B55" s="767"/>
      <c r="C55" s="413">
        <v>0.47</v>
      </c>
      <c r="D55" s="420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21"/>
      <c r="AF55" s="767"/>
      <c r="AG55" s="413">
        <v>0.47</v>
      </c>
      <c r="AH55" s="428"/>
      <c r="AI55" s="414"/>
      <c r="AJ55" s="414"/>
      <c r="AK55" s="414"/>
      <c r="AL55" s="414"/>
      <c r="AM55" s="414"/>
      <c r="AN55" s="414"/>
      <c r="AO55" s="414"/>
      <c r="AP55" s="414"/>
      <c r="AQ55" s="414"/>
      <c r="AR55" s="414"/>
      <c r="AS55" s="414"/>
      <c r="AT55" s="414"/>
      <c r="AU55" s="414"/>
      <c r="AV55" s="414"/>
      <c r="AW55" s="414"/>
      <c r="AX55" s="414"/>
      <c r="AY55" s="414"/>
      <c r="AZ55" s="414"/>
      <c r="BA55" s="414"/>
      <c r="BB55" s="414"/>
      <c r="BC55" s="414"/>
      <c r="BD55" s="414"/>
      <c r="BE55" s="429"/>
      <c r="BJ55" s="767"/>
      <c r="BK55" s="413">
        <v>0.47</v>
      </c>
      <c r="BL55" s="437"/>
      <c r="BM55" s="438"/>
      <c r="BN55" s="438"/>
      <c r="BO55" s="438"/>
      <c r="BP55" s="438"/>
      <c r="BQ55" s="438"/>
      <c r="BR55" s="438"/>
      <c r="BS55" s="438"/>
      <c r="BT55" s="438"/>
      <c r="BU55" s="438"/>
      <c r="BV55" s="438"/>
      <c r="BW55" s="438"/>
      <c r="BX55" s="438"/>
      <c r="BY55" s="438"/>
      <c r="BZ55" s="438"/>
      <c r="CA55" s="438"/>
      <c r="CB55" s="438"/>
      <c r="CC55" s="438"/>
      <c r="CD55" s="438"/>
      <c r="CE55" s="438"/>
      <c r="CF55" s="438"/>
      <c r="CG55" s="438"/>
      <c r="CH55" s="438"/>
      <c r="CI55" s="439"/>
      <c r="CN55" s="767"/>
      <c r="CO55" s="413">
        <v>0.47</v>
      </c>
      <c r="CP55" s="437"/>
      <c r="CQ55" s="438"/>
      <c r="CR55" s="438"/>
      <c r="CS55" s="438"/>
      <c r="CT55" s="438"/>
      <c r="CU55" s="438"/>
      <c r="CV55" s="438"/>
      <c r="CW55" s="438"/>
      <c r="CX55" s="438"/>
      <c r="CY55" s="438"/>
      <c r="CZ55" s="438"/>
      <c r="DA55" s="438"/>
      <c r="DB55" s="438"/>
      <c r="DC55" s="438"/>
      <c r="DD55" s="438"/>
      <c r="DE55" s="438"/>
      <c r="DF55" s="438"/>
      <c r="DG55" s="438"/>
      <c r="DH55" s="438"/>
      <c r="DI55" s="438"/>
      <c r="DJ55" s="438"/>
      <c r="DK55" s="438"/>
      <c r="DL55" s="438"/>
      <c r="DM55" s="439"/>
      <c r="DR55" s="767"/>
      <c r="DS55" s="413">
        <v>0.47</v>
      </c>
      <c r="DT55" s="437"/>
      <c r="DU55" s="438"/>
      <c r="DV55" s="438"/>
      <c r="DW55" s="438"/>
      <c r="DX55" s="438"/>
      <c r="DY55" s="438"/>
      <c r="DZ55" s="438"/>
      <c r="EA55" s="438"/>
      <c r="EB55" s="438"/>
      <c r="EC55" s="438"/>
      <c r="ED55" s="438"/>
      <c r="EE55" s="438"/>
      <c r="EF55" s="438"/>
      <c r="EG55" s="438"/>
      <c r="EH55" s="438"/>
      <c r="EI55" s="438"/>
      <c r="EJ55" s="438"/>
      <c r="EK55" s="438"/>
      <c r="EL55" s="438"/>
      <c r="EM55" s="438"/>
      <c r="EN55" s="438"/>
      <c r="EO55" s="438"/>
      <c r="EP55" s="438"/>
      <c r="EQ55" s="439"/>
    </row>
    <row r="56" spans="2:147" x14ac:dyDescent="0.35">
      <c r="B56" s="767"/>
      <c r="C56" s="413">
        <v>0.46</v>
      </c>
      <c r="D56" s="420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21"/>
      <c r="AF56" s="767"/>
      <c r="AG56" s="413">
        <v>0.46</v>
      </c>
      <c r="AH56" s="428"/>
      <c r="AI56" s="414"/>
      <c r="AJ56" s="414"/>
      <c r="AK56" s="414"/>
      <c r="AL56" s="414"/>
      <c r="AM56" s="414"/>
      <c r="AN56" s="414"/>
      <c r="AO56" s="414"/>
      <c r="AP56" s="414"/>
      <c r="AQ56" s="414"/>
      <c r="AR56" s="414"/>
      <c r="AS56" s="414"/>
      <c r="AT56" s="414"/>
      <c r="AU56" s="414"/>
      <c r="AV56" s="414"/>
      <c r="AW56" s="414"/>
      <c r="AX56" s="414"/>
      <c r="AY56" s="414"/>
      <c r="AZ56" s="414"/>
      <c r="BA56" s="414"/>
      <c r="BB56" s="414"/>
      <c r="BC56" s="414"/>
      <c r="BD56" s="414"/>
      <c r="BE56" s="429"/>
      <c r="BJ56" s="767"/>
      <c r="BK56" s="413">
        <v>0.46</v>
      </c>
      <c r="BL56" s="437"/>
      <c r="BM56" s="438"/>
      <c r="BN56" s="438"/>
      <c r="BO56" s="438"/>
      <c r="BP56" s="438"/>
      <c r="BQ56" s="438"/>
      <c r="BR56" s="438"/>
      <c r="BS56" s="438"/>
      <c r="BT56" s="438"/>
      <c r="BU56" s="438"/>
      <c r="BV56" s="438"/>
      <c r="BW56" s="438"/>
      <c r="BX56" s="438"/>
      <c r="BY56" s="438"/>
      <c r="BZ56" s="438"/>
      <c r="CA56" s="438"/>
      <c r="CB56" s="438"/>
      <c r="CC56" s="438"/>
      <c r="CD56" s="438"/>
      <c r="CE56" s="438"/>
      <c r="CF56" s="438"/>
      <c r="CG56" s="438"/>
      <c r="CH56" s="438"/>
      <c r="CI56" s="439"/>
      <c r="CN56" s="767"/>
      <c r="CO56" s="413">
        <v>0.46</v>
      </c>
      <c r="CP56" s="437"/>
      <c r="CQ56" s="438"/>
      <c r="CR56" s="438"/>
      <c r="CS56" s="438"/>
      <c r="CT56" s="438"/>
      <c r="CU56" s="438"/>
      <c r="CV56" s="438"/>
      <c r="CW56" s="438"/>
      <c r="CX56" s="438"/>
      <c r="CY56" s="438"/>
      <c r="CZ56" s="438"/>
      <c r="DA56" s="438"/>
      <c r="DB56" s="438"/>
      <c r="DC56" s="438"/>
      <c r="DD56" s="438"/>
      <c r="DE56" s="438"/>
      <c r="DF56" s="438"/>
      <c r="DG56" s="438"/>
      <c r="DH56" s="438"/>
      <c r="DI56" s="438"/>
      <c r="DJ56" s="438"/>
      <c r="DK56" s="438"/>
      <c r="DL56" s="438"/>
      <c r="DM56" s="439"/>
      <c r="DR56" s="767"/>
      <c r="DS56" s="413">
        <v>0.46</v>
      </c>
      <c r="DT56" s="437"/>
      <c r="DU56" s="438"/>
      <c r="DV56" s="438"/>
      <c r="DW56" s="438"/>
      <c r="DX56" s="438"/>
      <c r="DY56" s="438"/>
      <c r="DZ56" s="438"/>
      <c r="EA56" s="438"/>
      <c r="EB56" s="438"/>
      <c r="EC56" s="438"/>
      <c r="ED56" s="438"/>
      <c r="EE56" s="438"/>
      <c r="EF56" s="438"/>
      <c r="EG56" s="438"/>
      <c r="EH56" s="438"/>
      <c r="EI56" s="438"/>
      <c r="EJ56" s="438"/>
      <c r="EK56" s="438"/>
      <c r="EL56" s="438"/>
      <c r="EM56" s="438"/>
      <c r="EN56" s="438"/>
      <c r="EO56" s="438"/>
      <c r="EP56" s="438"/>
      <c r="EQ56" s="439"/>
    </row>
    <row r="57" spans="2:147" x14ac:dyDescent="0.35">
      <c r="B57" s="767"/>
      <c r="C57" s="413">
        <v>0.45</v>
      </c>
      <c r="D57" s="420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21"/>
      <c r="AF57" s="767"/>
      <c r="AG57" s="413">
        <v>0.45</v>
      </c>
      <c r="AH57" s="428"/>
      <c r="AI57" s="414"/>
      <c r="AJ57" s="414"/>
      <c r="AK57" s="414"/>
      <c r="AL57" s="414"/>
      <c r="AM57" s="414"/>
      <c r="AN57" s="414"/>
      <c r="AO57" s="414"/>
      <c r="AP57" s="414"/>
      <c r="AQ57" s="414"/>
      <c r="AR57" s="414"/>
      <c r="AS57" s="414"/>
      <c r="AT57" s="414"/>
      <c r="AU57" s="414"/>
      <c r="AV57" s="414"/>
      <c r="AW57" s="414"/>
      <c r="AX57" s="414"/>
      <c r="AY57" s="414"/>
      <c r="AZ57" s="414"/>
      <c r="BA57" s="414"/>
      <c r="BB57" s="414"/>
      <c r="BC57" s="414"/>
      <c r="BD57" s="414"/>
      <c r="BE57" s="429"/>
      <c r="BJ57" s="767"/>
      <c r="BK57" s="413">
        <v>0.45</v>
      </c>
      <c r="BL57" s="437"/>
      <c r="BM57" s="438"/>
      <c r="BN57" s="438"/>
      <c r="BO57" s="438"/>
      <c r="BP57" s="438"/>
      <c r="BQ57" s="438"/>
      <c r="BR57" s="438"/>
      <c r="BS57" s="438"/>
      <c r="BT57" s="438"/>
      <c r="BU57" s="438"/>
      <c r="BV57" s="438"/>
      <c r="BW57" s="438"/>
      <c r="BX57" s="438"/>
      <c r="BY57" s="438"/>
      <c r="BZ57" s="438"/>
      <c r="CA57" s="438"/>
      <c r="CB57" s="438"/>
      <c r="CC57" s="438"/>
      <c r="CD57" s="438"/>
      <c r="CE57" s="438"/>
      <c r="CF57" s="438"/>
      <c r="CG57" s="438"/>
      <c r="CH57" s="438"/>
      <c r="CI57" s="439"/>
      <c r="CN57" s="767"/>
      <c r="CO57" s="413">
        <v>0.45</v>
      </c>
      <c r="CP57" s="437"/>
      <c r="CQ57" s="438"/>
      <c r="CR57" s="438"/>
      <c r="CS57" s="438"/>
      <c r="CT57" s="438"/>
      <c r="CU57" s="438"/>
      <c r="CV57" s="438"/>
      <c r="CW57" s="438"/>
      <c r="CX57" s="438"/>
      <c r="CY57" s="438"/>
      <c r="CZ57" s="438"/>
      <c r="DA57" s="438"/>
      <c r="DB57" s="438"/>
      <c r="DC57" s="438"/>
      <c r="DD57" s="438"/>
      <c r="DE57" s="438"/>
      <c r="DF57" s="438"/>
      <c r="DG57" s="438"/>
      <c r="DH57" s="438"/>
      <c r="DI57" s="438"/>
      <c r="DJ57" s="438"/>
      <c r="DK57" s="438"/>
      <c r="DL57" s="438"/>
      <c r="DM57" s="439"/>
      <c r="DR57" s="767"/>
      <c r="DS57" s="413">
        <v>0.45</v>
      </c>
      <c r="DT57" s="437"/>
      <c r="DU57" s="438"/>
      <c r="DV57" s="438"/>
      <c r="DW57" s="438"/>
      <c r="DX57" s="438"/>
      <c r="DY57" s="438"/>
      <c r="DZ57" s="438"/>
      <c r="EA57" s="438"/>
      <c r="EB57" s="438"/>
      <c r="EC57" s="438"/>
      <c r="ED57" s="438"/>
      <c r="EE57" s="438"/>
      <c r="EF57" s="438"/>
      <c r="EG57" s="438"/>
      <c r="EH57" s="438"/>
      <c r="EI57" s="438"/>
      <c r="EJ57" s="438"/>
      <c r="EK57" s="438"/>
      <c r="EL57" s="438"/>
      <c r="EM57" s="438"/>
      <c r="EN57" s="438"/>
      <c r="EO57" s="438"/>
      <c r="EP57" s="438"/>
      <c r="EQ57" s="439"/>
    </row>
    <row r="58" spans="2:147" x14ac:dyDescent="0.35">
      <c r="B58" s="767"/>
      <c r="C58" s="413">
        <v>0.44</v>
      </c>
      <c r="D58" s="420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21"/>
      <c r="AF58" s="767"/>
      <c r="AG58" s="413">
        <v>0.44</v>
      </c>
      <c r="AH58" s="428"/>
      <c r="AI58" s="414"/>
      <c r="AJ58" s="414"/>
      <c r="AK58" s="414"/>
      <c r="AL58" s="414"/>
      <c r="AM58" s="414"/>
      <c r="AN58" s="414"/>
      <c r="AO58" s="414"/>
      <c r="AP58" s="414"/>
      <c r="AQ58" s="414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B58" s="414"/>
      <c r="BC58" s="414"/>
      <c r="BD58" s="414"/>
      <c r="BE58" s="429"/>
      <c r="BJ58" s="767"/>
      <c r="BK58" s="413">
        <v>0.44</v>
      </c>
      <c r="BL58" s="437"/>
      <c r="BM58" s="438"/>
      <c r="BN58" s="438"/>
      <c r="BO58" s="438"/>
      <c r="BP58" s="438"/>
      <c r="BQ58" s="438"/>
      <c r="BR58" s="438"/>
      <c r="BS58" s="438"/>
      <c r="BT58" s="438"/>
      <c r="BU58" s="438"/>
      <c r="BV58" s="438"/>
      <c r="BW58" s="438"/>
      <c r="BX58" s="438"/>
      <c r="BY58" s="438"/>
      <c r="BZ58" s="438"/>
      <c r="CA58" s="438"/>
      <c r="CB58" s="438"/>
      <c r="CC58" s="438"/>
      <c r="CD58" s="438"/>
      <c r="CE58" s="438"/>
      <c r="CF58" s="438"/>
      <c r="CG58" s="438"/>
      <c r="CH58" s="438"/>
      <c r="CI58" s="439"/>
      <c r="CN58" s="767"/>
      <c r="CO58" s="413">
        <v>0.44</v>
      </c>
      <c r="CP58" s="437"/>
      <c r="CQ58" s="438"/>
      <c r="CR58" s="438"/>
      <c r="CS58" s="438"/>
      <c r="CT58" s="438"/>
      <c r="CU58" s="438"/>
      <c r="CV58" s="438"/>
      <c r="CW58" s="438"/>
      <c r="CX58" s="438"/>
      <c r="CY58" s="438"/>
      <c r="CZ58" s="438"/>
      <c r="DA58" s="438"/>
      <c r="DB58" s="438"/>
      <c r="DC58" s="438"/>
      <c r="DD58" s="438"/>
      <c r="DE58" s="438"/>
      <c r="DF58" s="438"/>
      <c r="DG58" s="438"/>
      <c r="DH58" s="438"/>
      <c r="DI58" s="438"/>
      <c r="DJ58" s="438"/>
      <c r="DK58" s="438"/>
      <c r="DL58" s="438"/>
      <c r="DM58" s="439"/>
      <c r="DR58" s="767"/>
      <c r="DS58" s="413">
        <v>0.44</v>
      </c>
      <c r="DT58" s="437"/>
      <c r="DU58" s="438"/>
      <c r="DV58" s="438"/>
      <c r="DW58" s="438"/>
      <c r="DX58" s="438"/>
      <c r="DY58" s="438"/>
      <c r="DZ58" s="438"/>
      <c r="EA58" s="438"/>
      <c r="EB58" s="438"/>
      <c r="EC58" s="438"/>
      <c r="ED58" s="438"/>
      <c r="EE58" s="438"/>
      <c r="EF58" s="438"/>
      <c r="EG58" s="438"/>
      <c r="EH58" s="438"/>
      <c r="EI58" s="438"/>
      <c r="EJ58" s="438"/>
      <c r="EK58" s="438"/>
      <c r="EL58" s="438"/>
      <c r="EM58" s="438"/>
      <c r="EN58" s="438"/>
      <c r="EO58" s="438"/>
      <c r="EP58" s="438"/>
      <c r="EQ58" s="439"/>
    </row>
    <row r="59" spans="2:147" x14ac:dyDescent="0.35">
      <c r="B59" s="767"/>
      <c r="C59" s="413">
        <v>0.42999999999999899</v>
      </c>
      <c r="D59" s="420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21"/>
      <c r="AF59" s="767"/>
      <c r="AG59" s="413">
        <v>0.42999999999999899</v>
      </c>
      <c r="AH59" s="428"/>
      <c r="AI59" s="414"/>
      <c r="AJ59" s="414"/>
      <c r="AK59" s="414"/>
      <c r="AL59" s="414"/>
      <c r="AM59" s="414"/>
      <c r="AN59" s="414"/>
      <c r="AO59" s="414"/>
      <c r="AP59" s="414"/>
      <c r="AQ59" s="414"/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B59" s="414"/>
      <c r="BC59" s="414"/>
      <c r="BD59" s="414"/>
      <c r="BE59" s="429"/>
      <c r="BJ59" s="767"/>
      <c r="BK59" s="413">
        <v>0.42999999999999899</v>
      </c>
      <c r="BL59" s="437"/>
      <c r="BM59" s="438"/>
      <c r="BN59" s="438"/>
      <c r="BO59" s="438"/>
      <c r="BP59" s="438"/>
      <c r="BQ59" s="438"/>
      <c r="BR59" s="438"/>
      <c r="BS59" s="438"/>
      <c r="BT59" s="438"/>
      <c r="BU59" s="438"/>
      <c r="BV59" s="438"/>
      <c r="BW59" s="438"/>
      <c r="BX59" s="438"/>
      <c r="BY59" s="438"/>
      <c r="BZ59" s="438"/>
      <c r="CA59" s="438"/>
      <c r="CB59" s="438"/>
      <c r="CC59" s="438"/>
      <c r="CD59" s="438"/>
      <c r="CE59" s="438"/>
      <c r="CF59" s="438"/>
      <c r="CG59" s="438"/>
      <c r="CH59" s="438"/>
      <c r="CI59" s="439"/>
      <c r="CN59" s="767"/>
      <c r="CO59" s="413">
        <v>0.42999999999999899</v>
      </c>
      <c r="CP59" s="437"/>
      <c r="CQ59" s="438"/>
      <c r="CR59" s="438"/>
      <c r="CS59" s="438"/>
      <c r="CT59" s="438"/>
      <c r="CU59" s="438"/>
      <c r="CV59" s="438"/>
      <c r="CW59" s="438"/>
      <c r="CX59" s="438"/>
      <c r="CY59" s="438"/>
      <c r="CZ59" s="438"/>
      <c r="DA59" s="438"/>
      <c r="DB59" s="438"/>
      <c r="DC59" s="438"/>
      <c r="DD59" s="438"/>
      <c r="DE59" s="438"/>
      <c r="DF59" s="438"/>
      <c r="DG59" s="438"/>
      <c r="DH59" s="438"/>
      <c r="DI59" s="438"/>
      <c r="DJ59" s="438"/>
      <c r="DK59" s="438"/>
      <c r="DL59" s="438"/>
      <c r="DM59" s="439"/>
      <c r="DR59" s="767"/>
      <c r="DS59" s="413">
        <v>0.42999999999999899</v>
      </c>
      <c r="DT59" s="437"/>
      <c r="DU59" s="438"/>
      <c r="DV59" s="438"/>
      <c r="DW59" s="438"/>
      <c r="DX59" s="438"/>
      <c r="DY59" s="438"/>
      <c r="DZ59" s="438"/>
      <c r="EA59" s="438"/>
      <c r="EB59" s="438"/>
      <c r="EC59" s="438"/>
      <c r="ED59" s="438"/>
      <c r="EE59" s="438"/>
      <c r="EF59" s="438"/>
      <c r="EG59" s="438"/>
      <c r="EH59" s="438"/>
      <c r="EI59" s="438"/>
      <c r="EJ59" s="438"/>
      <c r="EK59" s="438"/>
      <c r="EL59" s="438"/>
      <c r="EM59" s="438"/>
      <c r="EN59" s="438"/>
      <c r="EO59" s="438"/>
      <c r="EP59" s="438"/>
      <c r="EQ59" s="439"/>
    </row>
    <row r="60" spans="2:147" x14ac:dyDescent="0.35">
      <c r="C60" s="413">
        <v>0.41999999999999899</v>
      </c>
      <c r="D60" s="420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21"/>
      <c r="AG60" s="413">
        <v>0.41999999999999899</v>
      </c>
      <c r="AH60" s="428"/>
      <c r="AI60" s="414"/>
      <c r="AJ60" s="414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429"/>
      <c r="BK60" s="413">
        <v>0.41999999999999899</v>
      </c>
      <c r="BL60" s="437"/>
      <c r="BM60" s="438"/>
      <c r="BN60" s="438"/>
      <c r="BO60" s="438"/>
      <c r="BP60" s="438"/>
      <c r="BQ60" s="438"/>
      <c r="BR60" s="438"/>
      <c r="BS60" s="438"/>
      <c r="BT60" s="438"/>
      <c r="BU60" s="438"/>
      <c r="BV60" s="438"/>
      <c r="BW60" s="438"/>
      <c r="BX60" s="438"/>
      <c r="BY60" s="438"/>
      <c r="BZ60" s="438"/>
      <c r="CA60" s="438"/>
      <c r="CB60" s="438"/>
      <c r="CC60" s="438"/>
      <c r="CD60" s="438"/>
      <c r="CE60" s="438"/>
      <c r="CF60" s="438"/>
      <c r="CG60" s="438"/>
      <c r="CH60" s="438"/>
      <c r="CI60" s="439"/>
      <c r="CO60" s="413">
        <v>0.41999999999999899</v>
      </c>
      <c r="CP60" s="437"/>
      <c r="CQ60" s="438"/>
      <c r="CR60" s="438"/>
      <c r="CS60" s="438"/>
      <c r="CT60" s="438"/>
      <c r="CU60" s="438"/>
      <c r="CV60" s="438"/>
      <c r="CW60" s="438"/>
      <c r="CX60" s="438"/>
      <c r="CY60" s="438"/>
      <c r="CZ60" s="438"/>
      <c r="DA60" s="438"/>
      <c r="DB60" s="438"/>
      <c r="DC60" s="438"/>
      <c r="DD60" s="438"/>
      <c r="DE60" s="438"/>
      <c r="DF60" s="438"/>
      <c r="DG60" s="438"/>
      <c r="DH60" s="438"/>
      <c r="DI60" s="438"/>
      <c r="DJ60" s="438"/>
      <c r="DK60" s="438"/>
      <c r="DL60" s="438"/>
      <c r="DM60" s="439"/>
      <c r="DS60" s="413">
        <v>0.41999999999999899</v>
      </c>
      <c r="DT60" s="437"/>
      <c r="DU60" s="438"/>
      <c r="DV60" s="438"/>
      <c r="DW60" s="438"/>
      <c r="DX60" s="438"/>
      <c r="DY60" s="438"/>
      <c r="DZ60" s="438"/>
      <c r="EA60" s="438"/>
      <c r="EB60" s="438"/>
      <c r="EC60" s="438"/>
      <c r="ED60" s="438"/>
      <c r="EE60" s="438"/>
      <c r="EF60" s="438"/>
      <c r="EG60" s="438"/>
      <c r="EH60" s="438"/>
      <c r="EI60" s="438"/>
      <c r="EJ60" s="438"/>
      <c r="EK60" s="438"/>
      <c r="EL60" s="438"/>
      <c r="EM60" s="438"/>
      <c r="EN60" s="438"/>
      <c r="EO60" s="438"/>
      <c r="EP60" s="438"/>
      <c r="EQ60" s="439"/>
    </row>
    <row r="61" spans="2:147" x14ac:dyDescent="0.35">
      <c r="C61" s="413">
        <v>0.40999999999999898</v>
      </c>
      <c r="D61" s="420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21"/>
      <c r="AG61" s="413">
        <v>0.40999999999999898</v>
      </c>
      <c r="AH61" s="428"/>
      <c r="AI61" s="414"/>
      <c r="AJ61" s="414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429"/>
      <c r="BK61" s="413">
        <v>0.40999999999999898</v>
      </c>
      <c r="BL61" s="437"/>
      <c r="BM61" s="438"/>
      <c r="BN61" s="438"/>
      <c r="BO61" s="438"/>
      <c r="BP61" s="438"/>
      <c r="BQ61" s="438"/>
      <c r="BR61" s="438"/>
      <c r="BS61" s="438"/>
      <c r="BT61" s="438"/>
      <c r="BU61" s="438"/>
      <c r="BV61" s="438"/>
      <c r="BW61" s="438"/>
      <c r="BX61" s="438"/>
      <c r="BY61" s="438"/>
      <c r="BZ61" s="438"/>
      <c r="CA61" s="438"/>
      <c r="CB61" s="438"/>
      <c r="CC61" s="438"/>
      <c r="CD61" s="438"/>
      <c r="CE61" s="438"/>
      <c r="CF61" s="438"/>
      <c r="CG61" s="438"/>
      <c r="CH61" s="438"/>
      <c r="CI61" s="439"/>
      <c r="CO61" s="413">
        <v>0.40999999999999898</v>
      </c>
      <c r="CP61" s="437"/>
      <c r="CQ61" s="438"/>
      <c r="CR61" s="438"/>
      <c r="CS61" s="438"/>
      <c r="CT61" s="438"/>
      <c r="CU61" s="438"/>
      <c r="CV61" s="438"/>
      <c r="CW61" s="438"/>
      <c r="CX61" s="438"/>
      <c r="CY61" s="438"/>
      <c r="CZ61" s="438"/>
      <c r="DA61" s="438"/>
      <c r="DB61" s="438"/>
      <c r="DC61" s="438"/>
      <c r="DD61" s="438"/>
      <c r="DE61" s="438"/>
      <c r="DF61" s="438"/>
      <c r="DG61" s="438"/>
      <c r="DH61" s="438"/>
      <c r="DI61" s="438"/>
      <c r="DJ61" s="438"/>
      <c r="DK61" s="438"/>
      <c r="DL61" s="438"/>
      <c r="DM61" s="439"/>
      <c r="DS61" s="413">
        <v>0.40999999999999898</v>
      </c>
      <c r="DT61" s="437"/>
      <c r="DU61" s="438"/>
      <c r="DV61" s="438"/>
      <c r="DW61" s="438"/>
      <c r="DX61" s="438"/>
      <c r="DY61" s="438"/>
      <c r="DZ61" s="438"/>
      <c r="EA61" s="438"/>
      <c r="EB61" s="438"/>
      <c r="EC61" s="438"/>
      <c r="ED61" s="438"/>
      <c r="EE61" s="438"/>
      <c r="EF61" s="438"/>
      <c r="EG61" s="438"/>
      <c r="EH61" s="438"/>
      <c r="EI61" s="438"/>
      <c r="EJ61" s="438"/>
      <c r="EK61" s="438"/>
      <c r="EL61" s="438"/>
      <c r="EM61" s="438"/>
      <c r="EN61" s="438"/>
      <c r="EO61" s="438"/>
      <c r="EP61" s="438"/>
      <c r="EQ61" s="439"/>
    </row>
    <row r="62" spans="2:147" x14ac:dyDescent="0.35">
      <c r="C62" s="413">
        <v>0.39999999999999902</v>
      </c>
      <c r="D62" s="420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21"/>
      <c r="AG62" s="413">
        <v>0.39999999999999902</v>
      </c>
      <c r="AH62" s="428"/>
      <c r="AI62" s="414"/>
      <c r="AJ62" s="414"/>
      <c r="AK62" s="414"/>
      <c r="AL62" s="414"/>
      <c r="AM62" s="414"/>
      <c r="AN62" s="414"/>
      <c r="AO62" s="414"/>
      <c r="AP62" s="414"/>
      <c r="AQ62" s="414"/>
      <c r="AR62" s="414"/>
      <c r="AS62" s="414"/>
      <c r="AT62" s="414"/>
      <c r="AU62" s="414"/>
      <c r="AV62" s="414"/>
      <c r="AW62" s="414"/>
      <c r="AX62" s="414"/>
      <c r="AY62" s="414"/>
      <c r="AZ62" s="414"/>
      <c r="BA62" s="414"/>
      <c r="BB62" s="414"/>
      <c r="BC62" s="414"/>
      <c r="BD62" s="414"/>
      <c r="BE62" s="429"/>
      <c r="BK62" s="413">
        <v>0.39999999999999902</v>
      </c>
      <c r="BL62" s="437"/>
      <c r="BM62" s="438"/>
      <c r="BN62" s="438"/>
      <c r="BO62" s="438"/>
      <c r="BP62" s="438"/>
      <c r="BQ62" s="438"/>
      <c r="BR62" s="438"/>
      <c r="BS62" s="438"/>
      <c r="BT62" s="438"/>
      <c r="BU62" s="438"/>
      <c r="BV62" s="438"/>
      <c r="BW62" s="438"/>
      <c r="BX62" s="438"/>
      <c r="BY62" s="438"/>
      <c r="BZ62" s="438"/>
      <c r="CA62" s="438"/>
      <c r="CB62" s="438"/>
      <c r="CC62" s="438"/>
      <c r="CD62" s="438"/>
      <c r="CE62" s="438"/>
      <c r="CF62" s="438"/>
      <c r="CG62" s="438"/>
      <c r="CH62" s="438"/>
      <c r="CI62" s="439"/>
      <c r="CO62" s="413">
        <v>0.39999999999999902</v>
      </c>
      <c r="CP62" s="437"/>
      <c r="CQ62" s="438"/>
      <c r="CR62" s="438"/>
      <c r="CS62" s="438"/>
      <c r="CT62" s="438"/>
      <c r="CU62" s="438"/>
      <c r="CV62" s="438"/>
      <c r="CW62" s="438"/>
      <c r="CX62" s="438"/>
      <c r="CY62" s="438"/>
      <c r="CZ62" s="438"/>
      <c r="DA62" s="438"/>
      <c r="DB62" s="438"/>
      <c r="DC62" s="438"/>
      <c r="DD62" s="438"/>
      <c r="DE62" s="438"/>
      <c r="DF62" s="438"/>
      <c r="DG62" s="438"/>
      <c r="DH62" s="438"/>
      <c r="DI62" s="438"/>
      <c r="DJ62" s="438"/>
      <c r="DK62" s="438"/>
      <c r="DL62" s="438"/>
      <c r="DM62" s="439"/>
      <c r="DS62" s="413">
        <v>0.39999999999999902</v>
      </c>
      <c r="DT62" s="437"/>
      <c r="DU62" s="438"/>
      <c r="DV62" s="438"/>
      <c r="DW62" s="438"/>
      <c r="DX62" s="438"/>
      <c r="DY62" s="438"/>
      <c r="DZ62" s="438"/>
      <c r="EA62" s="438"/>
      <c r="EB62" s="438"/>
      <c r="EC62" s="438"/>
      <c r="ED62" s="438"/>
      <c r="EE62" s="438"/>
      <c r="EF62" s="438"/>
      <c r="EG62" s="438"/>
      <c r="EH62" s="438"/>
      <c r="EI62" s="438"/>
      <c r="EJ62" s="438"/>
      <c r="EK62" s="438"/>
      <c r="EL62" s="438"/>
      <c r="EM62" s="438"/>
      <c r="EN62" s="438"/>
      <c r="EO62" s="438"/>
      <c r="EP62" s="438"/>
      <c r="EQ62" s="439"/>
    </row>
    <row r="63" spans="2:147" x14ac:dyDescent="0.35">
      <c r="C63" s="413">
        <v>0.38999999999999901</v>
      </c>
      <c r="D63" s="420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21"/>
      <c r="AG63" s="413">
        <v>0.38999999999999901</v>
      </c>
      <c r="AH63" s="428"/>
      <c r="AI63" s="414"/>
      <c r="AJ63" s="414"/>
      <c r="AK63" s="414"/>
      <c r="AL63" s="414"/>
      <c r="AM63" s="414"/>
      <c r="AN63" s="414"/>
      <c r="AO63" s="414"/>
      <c r="AP63" s="414"/>
      <c r="AQ63" s="414"/>
      <c r="AR63" s="414"/>
      <c r="AS63" s="414"/>
      <c r="AT63" s="414"/>
      <c r="AU63" s="414"/>
      <c r="AV63" s="414"/>
      <c r="AW63" s="414"/>
      <c r="AX63" s="414"/>
      <c r="AY63" s="414"/>
      <c r="AZ63" s="414"/>
      <c r="BA63" s="414"/>
      <c r="BB63" s="414"/>
      <c r="BC63" s="414"/>
      <c r="BD63" s="414"/>
      <c r="BE63" s="429"/>
      <c r="BK63" s="413">
        <v>0.38999999999999901</v>
      </c>
      <c r="BL63" s="437"/>
      <c r="BM63" s="438"/>
      <c r="BN63" s="438"/>
      <c r="BO63" s="438"/>
      <c r="BP63" s="438"/>
      <c r="BQ63" s="438"/>
      <c r="BR63" s="438"/>
      <c r="BS63" s="438"/>
      <c r="BT63" s="438"/>
      <c r="BU63" s="438"/>
      <c r="BV63" s="438"/>
      <c r="BW63" s="438"/>
      <c r="BX63" s="438"/>
      <c r="BY63" s="438"/>
      <c r="BZ63" s="438"/>
      <c r="CA63" s="438"/>
      <c r="CB63" s="438"/>
      <c r="CC63" s="438"/>
      <c r="CD63" s="438"/>
      <c r="CE63" s="438"/>
      <c r="CF63" s="438"/>
      <c r="CG63" s="438"/>
      <c r="CH63" s="438"/>
      <c r="CI63" s="439"/>
      <c r="CO63" s="413">
        <v>0.38999999999999901</v>
      </c>
      <c r="CP63" s="437"/>
      <c r="CQ63" s="438"/>
      <c r="CR63" s="438"/>
      <c r="CS63" s="438"/>
      <c r="CT63" s="438"/>
      <c r="CU63" s="438"/>
      <c r="CV63" s="438"/>
      <c r="CW63" s="438"/>
      <c r="CX63" s="438"/>
      <c r="CY63" s="438"/>
      <c r="CZ63" s="438"/>
      <c r="DA63" s="438"/>
      <c r="DB63" s="438"/>
      <c r="DC63" s="438"/>
      <c r="DD63" s="438"/>
      <c r="DE63" s="438"/>
      <c r="DF63" s="438"/>
      <c r="DG63" s="438"/>
      <c r="DH63" s="438"/>
      <c r="DI63" s="438"/>
      <c r="DJ63" s="438"/>
      <c r="DK63" s="438"/>
      <c r="DL63" s="438"/>
      <c r="DM63" s="439"/>
      <c r="DS63" s="413">
        <v>0.38999999999999901</v>
      </c>
      <c r="DT63" s="437"/>
      <c r="DU63" s="438"/>
      <c r="DV63" s="438"/>
      <c r="DW63" s="438"/>
      <c r="DX63" s="438"/>
      <c r="DY63" s="438"/>
      <c r="DZ63" s="438"/>
      <c r="EA63" s="438"/>
      <c r="EB63" s="438"/>
      <c r="EC63" s="438"/>
      <c r="ED63" s="438"/>
      <c r="EE63" s="438"/>
      <c r="EF63" s="438"/>
      <c r="EG63" s="438"/>
      <c r="EH63" s="438"/>
      <c r="EI63" s="438"/>
      <c r="EJ63" s="438"/>
      <c r="EK63" s="438"/>
      <c r="EL63" s="438"/>
      <c r="EM63" s="438"/>
      <c r="EN63" s="438"/>
      <c r="EO63" s="438"/>
      <c r="EP63" s="438"/>
      <c r="EQ63" s="439"/>
    </row>
    <row r="64" spans="2:147" x14ac:dyDescent="0.35">
      <c r="C64" s="413">
        <v>0.37999999999999901</v>
      </c>
      <c r="D64" s="420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21"/>
      <c r="AG64" s="413">
        <v>0.37999999999999901</v>
      </c>
      <c r="AH64" s="428"/>
      <c r="AI64" s="414"/>
      <c r="AJ64" s="414"/>
      <c r="AK64" s="414"/>
      <c r="AL64" s="414"/>
      <c r="AM64" s="414"/>
      <c r="AN64" s="414"/>
      <c r="AO64" s="414"/>
      <c r="AP64" s="414"/>
      <c r="AQ64" s="414"/>
      <c r="AR64" s="414"/>
      <c r="AS64" s="414"/>
      <c r="AT64" s="414"/>
      <c r="AU64" s="414"/>
      <c r="AV64" s="414"/>
      <c r="AW64" s="414"/>
      <c r="AX64" s="414"/>
      <c r="AY64" s="414"/>
      <c r="AZ64" s="414"/>
      <c r="BA64" s="414"/>
      <c r="BB64" s="414"/>
      <c r="BC64" s="414"/>
      <c r="BD64" s="414"/>
      <c r="BE64" s="429"/>
      <c r="BK64" s="413">
        <v>0.37999999999999901</v>
      </c>
      <c r="BL64" s="437"/>
      <c r="BM64" s="438"/>
      <c r="BN64" s="438"/>
      <c r="BO64" s="438"/>
      <c r="BP64" s="438"/>
      <c r="BQ64" s="438"/>
      <c r="BR64" s="438"/>
      <c r="BS64" s="438"/>
      <c r="BT64" s="438"/>
      <c r="BU64" s="438"/>
      <c r="BV64" s="438"/>
      <c r="BW64" s="438"/>
      <c r="BX64" s="438"/>
      <c r="BY64" s="438"/>
      <c r="BZ64" s="438"/>
      <c r="CA64" s="438"/>
      <c r="CB64" s="438"/>
      <c r="CC64" s="438"/>
      <c r="CD64" s="438"/>
      <c r="CE64" s="438"/>
      <c r="CF64" s="438"/>
      <c r="CG64" s="438"/>
      <c r="CH64" s="438"/>
      <c r="CI64" s="439"/>
      <c r="CO64" s="413">
        <v>0.37999999999999901</v>
      </c>
      <c r="CP64" s="437"/>
      <c r="CQ64" s="438"/>
      <c r="CR64" s="438"/>
      <c r="CS64" s="438"/>
      <c r="CT64" s="438"/>
      <c r="CU64" s="438"/>
      <c r="CV64" s="438"/>
      <c r="CW64" s="438"/>
      <c r="CX64" s="438"/>
      <c r="CY64" s="438"/>
      <c r="CZ64" s="438"/>
      <c r="DA64" s="438"/>
      <c r="DB64" s="438"/>
      <c r="DC64" s="438"/>
      <c r="DD64" s="438"/>
      <c r="DE64" s="438"/>
      <c r="DF64" s="438"/>
      <c r="DG64" s="438"/>
      <c r="DH64" s="438"/>
      <c r="DI64" s="438"/>
      <c r="DJ64" s="438"/>
      <c r="DK64" s="438"/>
      <c r="DL64" s="438"/>
      <c r="DM64" s="439"/>
      <c r="DS64" s="413">
        <v>0.37999999999999901</v>
      </c>
      <c r="DT64" s="437"/>
      <c r="DU64" s="438"/>
      <c r="DV64" s="438"/>
      <c r="DW64" s="438"/>
      <c r="DX64" s="438"/>
      <c r="DY64" s="438"/>
      <c r="DZ64" s="438"/>
      <c r="EA64" s="438"/>
      <c r="EB64" s="438"/>
      <c r="EC64" s="438"/>
      <c r="ED64" s="438"/>
      <c r="EE64" s="438"/>
      <c r="EF64" s="438"/>
      <c r="EG64" s="438"/>
      <c r="EH64" s="438"/>
      <c r="EI64" s="438"/>
      <c r="EJ64" s="438"/>
      <c r="EK64" s="438"/>
      <c r="EL64" s="438"/>
      <c r="EM64" s="438"/>
      <c r="EN64" s="438"/>
      <c r="EO64" s="438"/>
      <c r="EP64" s="438"/>
      <c r="EQ64" s="439"/>
    </row>
    <row r="65" spans="3:147" x14ac:dyDescent="0.35">
      <c r="C65" s="413">
        <v>0.369999999999999</v>
      </c>
      <c r="D65" s="420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21"/>
      <c r="AG65" s="413">
        <v>0.369999999999999</v>
      </c>
      <c r="AH65" s="428"/>
      <c r="AI65" s="414"/>
      <c r="AJ65" s="414"/>
      <c r="AK65" s="414"/>
      <c r="AL65" s="414"/>
      <c r="AM65" s="414"/>
      <c r="AN65" s="414"/>
      <c r="AO65" s="414"/>
      <c r="AP65" s="414"/>
      <c r="AQ65" s="414"/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B65" s="414"/>
      <c r="BC65" s="414"/>
      <c r="BD65" s="414"/>
      <c r="BE65" s="429"/>
      <c r="BK65" s="413">
        <v>0.369999999999999</v>
      </c>
      <c r="BL65" s="437"/>
      <c r="BM65" s="438"/>
      <c r="BN65" s="438"/>
      <c r="BO65" s="438"/>
      <c r="BP65" s="438"/>
      <c r="BQ65" s="438"/>
      <c r="BR65" s="438"/>
      <c r="BS65" s="438"/>
      <c r="BT65" s="438"/>
      <c r="BU65" s="438"/>
      <c r="BV65" s="438"/>
      <c r="BW65" s="438"/>
      <c r="BX65" s="438"/>
      <c r="BY65" s="438"/>
      <c r="BZ65" s="438"/>
      <c r="CA65" s="438"/>
      <c r="CB65" s="438"/>
      <c r="CC65" s="438"/>
      <c r="CD65" s="438"/>
      <c r="CE65" s="438"/>
      <c r="CF65" s="438"/>
      <c r="CG65" s="438"/>
      <c r="CH65" s="438"/>
      <c r="CI65" s="439"/>
      <c r="CO65" s="413">
        <v>0.369999999999999</v>
      </c>
      <c r="CP65" s="437"/>
      <c r="CQ65" s="438"/>
      <c r="CR65" s="438"/>
      <c r="CS65" s="438"/>
      <c r="CT65" s="438"/>
      <c r="CU65" s="438"/>
      <c r="CV65" s="438"/>
      <c r="CW65" s="438"/>
      <c r="CX65" s="438"/>
      <c r="CY65" s="438"/>
      <c r="CZ65" s="438"/>
      <c r="DA65" s="438"/>
      <c r="DB65" s="438"/>
      <c r="DC65" s="438"/>
      <c r="DD65" s="438"/>
      <c r="DE65" s="438"/>
      <c r="DF65" s="438"/>
      <c r="DG65" s="438"/>
      <c r="DH65" s="438"/>
      <c r="DI65" s="438"/>
      <c r="DJ65" s="438"/>
      <c r="DK65" s="438"/>
      <c r="DL65" s="438"/>
      <c r="DM65" s="439"/>
      <c r="DS65" s="413">
        <v>0.369999999999999</v>
      </c>
      <c r="DT65" s="437"/>
      <c r="DU65" s="438"/>
      <c r="DV65" s="438"/>
      <c r="DW65" s="438"/>
      <c r="DX65" s="438"/>
      <c r="DY65" s="438"/>
      <c r="DZ65" s="438"/>
      <c r="EA65" s="438"/>
      <c r="EB65" s="438"/>
      <c r="EC65" s="438"/>
      <c r="ED65" s="438"/>
      <c r="EE65" s="438"/>
      <c r="EF65" s="438"/>
      <c r="EG65" s="438"/>
      <c r="EH65" s="438"/>
      <c r="EI65" s="438"/>
      <c r="EJ65" s="438"/>
      <c r="EK65" s="438"/>
      <c r="EL65" s="438"/>
      <c r="EM65" s="438"/>
      <c r="EN65" s="438"/>
      <c r="EO65" s="438"/>
      <c r="EP65" s="438"/>
      <c r="EQ65" s="439"/>
    </row>
    <row r="66" spans="3:147" x14ac:dyDescent="0.35">
      <c r="C66" s="413">
        <v>0.35999999999999899</v>
      </c>
      <c r="D66" s="420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21"/>
      <c r="AG66" s="413">
        <v>0.35999999999999899</v>
      </c>
      <c r="AH66" s="428"/>
      <c r="AI66" s="414"/>
      <c r="AJ66" s="414"/>
      <c r="AK66" s="414"/>
      <c r="AL66" s="414"/>
      <c r="AM66" s="414"/>
      <c r="AN66" s="414"/>
      <c r="AO66" s="414"/>
      <c r="AP66" s="414"/>
      <c r="AQ66" s="414"/>
      <c r="AR66" s="414"/>
      <c r="AS66" s="414"/>
      <c r="AT66" s="414"/>
      <c r="AU66" s="414"/>
      <c r="AV66" s="414"/>
      <c r="AW66" s="414"/>
      <c r="AX66" s="414"/>
      <c r="AY66" s="414"/>
      <c r="AZ66" s="414"/>
      <c r="BA66" s="414"/>
      <c r="BB66" s="414"/>
      <c r="BC66" s="414"/>
      <c r="BD66" s="414"/>
      <c r="BE66" s="429"/>
      <c r="BK66" s="413">
        <v>0.35999999999999899</v>
      </c>
      <c r="BL66" s="437"/>
      <c r="BM66" s="438"/>
      <c r="BN66" s="438"/>
      <c r="BO66" s="438"/>
      <c r="BP66" s="438"/>
      <c r="BQ66" s="438"/>
      <c r="BR66" s="438"/>
      <c r="BS66" s="438"/>
      <c r="BT66" s="438"/>
      <c r="BU66" s="438"/>
      <c r="BV66" s="438"/>
      <c r="BW66" s="438"/>
      <c r="BX66" s="438"/>
      <c r="BY66" s="438"/>
      <c r="BZ66" s="438"/>
      <c r="CA66" s="438"/>
      <c r="CB66" s="438"/>
      <c r="CC66" s="438"/>
      <c r="CD66" s="438"/>
      <c r="CE66" s="438"/>
      <c r="CF66" s="438"/>
      <c r="CG66" s="438"/>
      <c r="CH66" s="438"/>
      <c r="CI66" s="439"/>
      <c r="CO66" s="413">
        <v>0.35999999999999899</v>
      </c>
      <c r="CP66" s="437"/>
      <c r="CQ66" s="438"/>
      <c r="CR66" s="438"/>
      <c r="CS66" s="438"/>
      <c r="CT66" s="438"/>
      <c r="CU66" s="438"/>
      <c r="CV66" s="438"/>
      <c r="CW66" s="438"/>
      <c r="CX66" s="438"/>
      <c r="CY66" s="438"/>
      <c r="CZ66" s="438"/>
      <c r="DA66" s="438"/>
      <c r="DB66" s="438"/>
      <c r="DC66" s="438"/>
      <c r="DD66" s="438"/>
      <c r="DE66" s="438"/>
      <c r="DF66" s="438"/>
      <c r="DG66" s="438"/>
      <c r="DH66" s="438"/>
      <c r="DI66" s="438"/>
      <c r="DJ66" s="438"/>
      <c r="DK66" s="438"/>
      <c r="DL66" s="438"/>
      <c r="DM66" s="439"/>
      <c r="DS66" s="413">
        <v>0.35999999999999899</v>
      </c>
      <c r="DT66" s="437"/>
      <c r="DU66" s="438"/>
      <c r="DV66" s="438"/>
      <c r="DW66" s="438"/>
      <c r="DX66" s="438"/>
      <c r="DY66" s="438"/>
      <c r="DZ66" s="438"/>
      <c r="EA66" s="438"/>
      <c r="EB66" s="438"/>
      <c r="EC66" s="438"/>
      <c r="ED66" s="438"/>
      <c r="EE66" s="438"/>
      <c r="EF66" s="438"/>
      <c r="EG66" s="438"/>
      <c r="EH66" s="438"/>
      <c r="EI66" s="438"/>
      <c r="EJ66" s="438"/>
      <c r="EK66" s="438"/>
      <c r="EL66" s="438"/>
      <c r="EM66" s="438"/>
      <c r="EN66" s="438"/>
      <c r="EO66" s="438"/>
      <c r="EP66" s="438"/>
      <c r="EQ66" s="439"/>
    </row>
    <row r="67" spans="3:147" x14ac:dyDescent="0.35">
      <c r="C67" s="413">
        <v>0.34999999999999898</v>
      </c>
      <c r="D67" s="420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21"/>
      <c r="AG67" s="413">
        <v>0.34999999999999898</v>
      </c>
      <c r="AH67" s="428"/>
      <c r="AI67" s="414"/>
      <c r="AJ67" s="414"/>
      <c r="AK67" s="414"/>
      <c r="AL67" s="414"/>
      <c r="AM67" s="414"/>
      <c r="AN67" s="414"/>
      <c r="AO67" s="414"/>
      <c r="AP67" s="414"/>
      <c r="AQ67" s="414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B67" s="414"/>
      <c r="BC67" s="414"/>
      <c r="BD67" s="414"/>
      <c r="BE67" s="429"/>
      <c r="BK67" s="413">
        <v>0.34999999999999898</v>
      </c>
      <c r="BL67" s="437"/>
      <c r="BM67" s="438"/>
      <c r="BN67" s="438"/>
      <c r="BO67" s="438"/>
      <c r="BP67" s="438"/>
      <c r="BQ67" s="438"/>
      <c r="BR67" s="438"/>
      <c r="BS67" s="438"/>
      <c r="BT67" s="438"/>
      <c r="BU67" s="438"/>
      <c r="BV67" s="438"/>
      <c r="BW67" s="438"/>
      <c r="BX67" s="438"/>
      <c r="BY67" s="438"/>
      <c r="BZ67" s="438"/>
      <c r="CA67" s="438"/>
      <c r="CB67" s="438"/>
      <c r="CC67" s="438"/>
      <c r="CD67" s="438"/>
      <c r="CE67" s="438"/>
      <c r="CF67" s="438"/>
      <c r="CG67" s="438"/>
      <c r="CH67" s="438"/>
      <c r="CI67" s="439"/>
      <c r="CO67" s="413">
        <v>0.34999999999999898</v>
      </c>
      <c r="CP67" s="437"/>
      <c r="CQ67" s="438"/>
      <c r="CR67" s="438"/>
      <c r="CS67" s="438"/>
      <c r="CT67" s="438"/>
      <c r="CU67" s="438"/>
      <c r="CV67" s="438"/>
      <c r="CW67" s="438"/>
      <c r="CX67" s="438"/>
      <c r="CY67" s="438"/>
      <c r="CZ67" s="438"/>
      <c r="DA67" s="438"/>
      <c r="DB67" s="438"/>
      <c r="DC67" s="438"/>
      <c r="DD67" s="438"/>
      <c r="DE67" s="438"/>
      <c r="DF67" s="438"/>
      <c r="DG67" s="438"/>
      <c r="DH67" s="438"/>
      <c r="DI67" s="438"/>
      <c r="DJ67" s="438"/>
      <c r="DK67" s="438"/>
      <c r="DL67" s="438"/>
      <c r="DM67" s="439"/>
      <c r="DS67" s="413">
        <v>0.34999999999999898</v>
      </c>
      <c r="DT67" s="437"/>
      <c r="DU67" s="438"/>
      <c r="DV67" s="438"/>
      <c r="DW67" s="438"/>
      <c r="DX67" s="438"/>
      <c r="DY67" s="438"/>
      <c r="DZ67" s="438"/>
      <c r="EA67" s="438"/>
      <c r="EB67" s="438"/>
      <c r="EC67" s="438"/>
      <c r="ED67" s="438"/>
      <c r="EE67" s="438"/>
      <c r="EF67" s="438"/>
      <c r="EG67" s="438"/>
      <c r="EH67" s="438"/>
      <c r="EI67" s="438"/>
      <c r="EJ67" s="438"/>
      <c r="EK67" s="438"/>
      <c r="EL67" s="438"/>
      <c r="EM67" s="438"/>
      <c r="EN67" s="438"/>
      <c r="EO67" s="438"/>
      <c r="EP67" s="438"/>
      <c r="EQ67" s="439"/>
    </row>
    <row r="68" spans="3:147" x14ac:dyDescent="0.35">
      <c r="C68" s="413">
        <v>0.33999999999999903</v>
      </c>
      <c r="D68" s="420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21"/>
      <c r="AG68" s="413">
        <v>0.33999999999999903</v>
      </c>
      <c r="AH68" s="428"/>
      <c r="AI68" s="414"/>
      <c r="AJ68" s="414"/>
      <c r="AK68" s="414"/>
      <c r="AL68" s="414"/>
      <c r="AM68" s="414"/>
      <c r="AN68" s="414"/>
      <c r="AO68" s="414"/>
      <c r="AP68" s="414"/>
      <c r="AQ68" s="414"/>
      <c r="AR68" s="414"/>
      <c r="AS68" s="414"/>
      <c r="AT68" s="414"/>
      <c r="AU68" s="414"/>
      <c r="AV68" s="414"/>
      <c r="AW68" s="414"/>
      <c r="AX68" s="414"/>
      <c r="AY68" s="414"/>
      <c r="AZ68" s="414"/>
      <c r="BA68" s="414"/>
      <c r="BB68" s="414"/>
      <c r="BC68" s="414"/>
      <c r="BD68" s="414"/>
      <c r="BE68" s="429"/>
      <c r="BK68" s="413">
        <v>0.33999999999999903</v>
      </c>
      <c r="BL68" s="437"/>
      <c r="BM68" s="438"/>
      <c r="BN68" s="438"/>
      <c r="BO68" s="438"/>
      <c r="BP68" s="438"/>
      <c r="BQ68" s="438"/>
      <c r="BR68" s="438"/>
      <c r="BS68" s="438"/>
      <c r="BT68" s="438"/>
      <c r="BU68" s="438"/>
      <c r="BV68" s="438"/>
      <c r="BW68" s="438"/>
      <c r="BX68" s="438"/>
      <c r="BY68" s="438"/>
      <c r="BZ68" s="438"/>
      <c r="CA68" s="438"/>
      <c r="CB68" s="438"/>
      <c r="CC68" s="438"/>
      <c r="CD68" s="438"/>
      <c r="CE68" s="438"/>
      <c r="CF68" s="438"/>
      <c r="CG68" s="438"/>
      <c r="CH68" s="438"/>
      <c r="CI68" s="439"/>
      <c r="CO68" s="413">
        <v>0.33999999999999903</v>
      </c>
      <c r="CP68" s="437"/>
      <c r="CQ68" s="438"/>
      <c r="CR68" s="438"/>
      <c r="CS68" s="438"/>
      <c r="CT68" s="438"/>
      <c r="CU68" s="438"/>
      <c r="CV68" s="438"/>
      <c r="CW68" s="438"/>
      <c r="CX68" s="438"/>
      <c r="CY68" s="438"/>
      <c r="CZ68" s="438"/>
      <c r="DA68" s="438"/>
      <c r="DB68" s="438"/>
      <c r="DC68" s="438"/>
      <c r="DD68" s="438"/>
      <c r="DE68" s="438"/>
      <c r="DF68" s="438"/>
      <c r="DG68" s="438"/>
      <c r="DH68" s="438"/>
      <c r="DI68" s="438"/>
      <c r="DJ68" s="438"/>
      <c r="DK68" s="438"/>
      <c r="DL68" s="438"/>
      <c r="DM68" s="439"/>
      <c r="DS68" s="413">
        <v>0.33999999999999903</v>
      </c>
      <c r="DT68" s="437"/>
      <c r="DU68" s="438"/>
      <c r="DV68" s="438"/>
      <c r="DW68" s="438"/>
      <c r="DX68" s="438"/>
      <c r="DY68" s="438"/>
      <c r="DZ68" s="438"/>
      <c r="EA68" s="438"/>
      <c r="EB68" s="438"/>
      <c r="EC68" s="438"/>
      <c r="ED68" s="438"/>
      <c r="EE68" s="438"/>
      <c r="EF68" s="438"/>
      <c r="EG68" s="438"/>
      <c r="EH68" s="438"/>
      <c r="EI68" s="438"/>
      <c r="EJ68" s="438"/>
      <c r="EK68" s="438"/>
      <c r="EL68" s="438"/>
      <c r="EM68" s="438"/>
      <c r="EN68" s="438"/>
      <c r="EO68" s="438"/>
      <c r="EP68" s="438"/>
      <c r="EQ68" s="439"/>
    </row>
    <row r="69" spans="3:147" x14ac:dyDescent="0.35">
      <c r="C69" s="413">
        <v>0.32999999999999902</v>
      </c>
      <c r="D69" s="420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21"/>
      <c r="AG69" s="413">
        <v>0.32999999999999902</v>
      </c>
      <c r="AH69" s="428"/>
      <c r="AI69" s="414"/>
      <c r="AJ69" s="414"/>
      <c r="AK69" s="414"/>
      <c r="AL69" s="414"/>
      <c r="AM69" s="414"/>
      <c r="AN69" s="414"/>
      <c r="AO69" s="414"/>
      <c r="AP69" s="414"/>
      <c r="AQ69" s="414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B69" s="414"/>
      <c r="BC69" s="414"/>
      <c r="BD69" s="414"/>
      <c r="BE69" s="429"/>
      <c r="BK69" s="413">
        <v>0.32999999999999902</v>
      </c>
      <c r="BL69" s="437"/>
      <c r="BM69" s="438"/>
      <c r="BN69" s="438"/>
      <c r="BO69" s="438"/>
      <c r="BP69" s="438"/>
      <c r="BQ69" s="438"/>
      <c r="BR69" s="438"/>
      <c r="BS69" s="438"/>
      <c r="BT69" s="438"/>
      <c r="BU69" s="438"/>
      <c r="BV69" s="438"/>
      <c r="BW69" s="438"/>
      <c r="BX69" s="438"/>
      <c r="BY69" s="438"/>
      <c r="BZ69" s="438"/>
      <c r="CA69" s="438"/>
      <c r="CB69" s="438"/>
      <c r="CC69" s="438"/>
      <c r="CD69" s="438"/>
      <c r="CE69" s="438"/>
      <c r="CF69" s="438"/>
      <c r="CG69" s="438"/>
      <c r="CH69" s="438"/>
      <c r="CI69" s="439"/>
      <c r="CO69" s="413">
        <v>0.32999999999999902</v>
      </c>
      <c r="CP69" s="437"/>
      <c r="CQ69" s="438"/>
      <c r="CR69" s="438"/>
      <c r="CS69" s="438"/>
      <c r="CT69" s="438"/>
      <c r="CU69" s="438"/>
      <c r="CV69" s="438"/>
      <c r="CW69" s="438"/>
      <c r="CX69" s="438"/>
      <c r="CY69" s="438"/>
      <c r="CZ69" s="438"/>
      <c r="DA69" s="438"/>
      <c r="DB69" s="438"/>
      <c r="DC69" s="438"/>
      <c r="DD69" s="438"/>
      <c r="DE69" s="438"/>
      <c r="DF69" s="438"/>
      <c r="DG69" s="438"/>
      <c r="DH69" s="438"/>
      <c r="DI69" s="438"/>
      <c r="DJ69" s="438"/>
      <c r="DK69" s="438"/>
      <c r="DL69" s="438"/>
      <c r="DM69" s="439"/>
      <c r="DS69" s="413">
        <v>0.32999999999999902</v>
      </c>
      <c r="DT69" s="437"/>
      <c r="DU69" s="438"/>
      <c r="DV69" s="438"/>
      <c r="DW69" s="438"/>
      <c r="DX69" s="438"/>
      <c r="DY69" s="438"/>
      <c r="DZ69" s="438"/>
      <c r="EA69" s="438"/>
      <c r="EB69" s="438"/>
      <c r="EC69" s="438"/>
      <c r="ED69" s="438"/>
      <c r="EE69" s="438"/>
      <c r="EF69" s="438"/>
      <c r="EG69" s="438"/>
      <c r="EH69" s="438"/>
      <c r="EI69" s="438"/>
      <c r="EJ69" s="438"/>
      <c r="EK69" s="438"/>
      <c r="EL69" s="438"/>
      <c r="EM69" s="438"/>
      <c r="EN69" s="438"/>
      <c r="EO69" s="438"/>
      <c r="EP69" s="438"/>
      <c r="EQ69" s="439"/>
    </row>
    <row r="70" spans="3:147" x14ac:dyDescent="0.35">
      <c r="C70" s="413">
        <v>0.31999999999999901</v>
      </c>
      <c r="D70" s="420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21"/>
      <c r="AG70" s="413">
        <v>0.31999999999999901</v>
      </c>
      <c r="AH70" s="428"/>
      <c r="AI70" s="414"/>
      <c r="AJ70" s="414"/>
      <c r="AK70" s="414"/>
      <c r="AL70" s="414"/>
      <c r="AM70" s="414"/>
      <c r="AN70" s="414"/>
      <c r="AO70" s="414"/>
      <c r="AP70" s="414"/>
      <c r="AQ70" s="414"/>
      <c r="AR70" s="414"/>
      <c r="AS70" s="414"/>
      <c r="AT70" s="414"/>
      <c r="AU70" s="414"/>
      <c r="AV70" s="414"/>
      <c r="AW70" s="414"/>
      <c r="AX70" s="414"/>
      <c r="AY70" s="414"/>
      <c r="AZ70" s="414"/>
      <c r="BA70" s="414"/>
      <c r="BB70" s="414"/>
      <c r="BC70" s="414"/>
      <c r="BD70" s="414"/>
      <c r="BE70" s="429"/>
      <c r="BK70" s="413">
        <v>0.31999999999999901</v>
      </c>
      <c r="BL70" s="437"/>
      <c r="BM70" s="438"/>
      <c r="BN70" s="438"/>
      <c r="BO70" s="438"/>
      <c r="BP70" s="438"/>
      <c r="BQ70" s="438"/>
      <c r="BR70" s="438"/>
      <c r="BS70" s="438"/>
      <c r="BT70" s="438"/>
      <c r="BU70" s="438"/>
      <c r="BV70" s="438"/>
      <c r="BW70" s="438"/>
      <c r="BX70" s="438"/>
      <c r="BY70" s="438"/>
      <c r="BZ70" s="438"/>
      <c r="CA70" s="438"/>
      <c r="CB70" s="438"/>
      <c r="CC70" s="438"/>
      <c r="CD70" s="438"/>
      <c r="CE70" s="438"/>
      <c r="CF70" s="438"/>
      <c r="CG70" s="438"/>
      <c r="CH70" s="438"/>
      <c r="CI70" s="439"/>
      <c r="CO70" s="413">
        <v>0.31999999999999901</v>
      </c>
      <c r="CP70" s="437"/>
      <c r="CQ70" s="438"/>
      <c r="CR70" s="438"/>
      <c r="CS70" s="438"/>
      <c r="CT70" s="438"/>
      <c r="CU70" s="438"/>
      <c r="CV70" s="438"/>
      <c r="CW70" s="438"/>
      <c r="CX70" s="438"/>
      <c r="CY70" s="438"/>
      <c r="CZ70" s="438"/>
      <c r="DA70" s="438"/>
      <c r="DB70" s="438"/>
      <c r="DC70" s="438"/>
      <c r="DD70" s="438"/>
      <c r="DE70" s="438"/>
      <c r="DF70" s="438"/>
      <c r="DG70" s="438"/>
      <c r="DH70" s="438"/>
      <c r="DI70" s="438"/>
      <c r="DJ70" s="438"/>
      <c r="DK70" s="438"/>
      <c r="DL70" s="438"/>
      <c r="DM70" s="439"/>
      <c r="DS70" s="413">
        <v>0.31999999999999901</v>
      </c>
      <c r="DT70" s="437"/>
      <c r="DU70" s="438"/>
      <c r="DV70" s="438"/>
      <c r="DW70" s="438"/>
      <c r="DX70" s="438"/>
      <c r="DY70" s="438"/>
      <c r="DZ70" s="438"/>
      <c r="EA70" s="438"/>
      <c r="EB70" s="438"/>
      <c r="EC70" s="438"/>
      <c r="ED70" s="438"/>
      <c r="EE70" s="438"/>
      <c r="EF70" s="438"/>
      <c r="EG70" s="438"/>
      <c r="EH70" s="438"/>
      <c r="EI70" s="438"/>
      <c r="EJ70" s="438"/>
      <c r="EK70" s="438"/>
      <c r="EL70" s="438"/>
      <c r="EM70" s="438"/>
      <c r="EN70" s="438"/>
      <c r="EO70" s="438"/>
      <c r="EP70" s="438"/>
      <c r="EQ70" s="439"/>
    </row>
    <row r="71" spans="3:147" x14ac:dyDescent="0.35">
      <c r="C71" s="413">
        <v>0.309999999999999</v>
      </c>
      <c r="D71" s="420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21"/>
      <c r="AG71" s="413">
        <v>0.309999999999999</v>
      </c>
      <c r="AH71" s="428"/>
      <c r="AI71" s="414"/>
      <c r="AJ71" s="414"/>
      <c r="AK71" s="414"/>
      <c r="AL71" s="414"/>
      <c r="AM71" s="414"/>
      <c r="AN71" s="414"/>
      <c r="AO71" s="414"/>
      <c r="AP71" s="414"/>
      <c r="AQ71" s="414"/>
      <c r="AR71" s="414"/>
      <c r="AS71" s="414"/>
      <c r="AT71" s="414"/>
      <c r="AU71" s="414"/>
      <c r="AV71" s="414"/>
      <c r="AW71" s="414"/>
      <c r="AX71" s="414"/>
      <c r="AY71" s="414"/>
      <c r="AZ71" s="414"/>
      <c r="BA71" s="414"/>
      <c r="BB71" s="414"/>
      <c r="BC71" s="414"/>
      <c r="BD71" s="414"/>
      <c r="BE71" s="429"/>
      <c r="BK71" s="413">
        <v>0.309999999999999</v>
      </c>
      <c r="BL71" s="437"/>
      <c r="BM71" s="438"/>
      <c r="BN71" s="438"/>
      <c r="BO71" s="438"/>
      <c r="BP71" s="438"/>
      <c r="BQ71" s="438"/>
      <c r="BR71" s="438"/>
      <c r="BS71" s="438"/>
      <c r="BT71" s="438"/>
      <c r="BU71" s="438"/>
      <c r="BV71" s="438"/>
      <c r="BW71" s="438"/>
      <c r="BX71" s="438"/>
      <c r="BY71" s="438"/>
      <c r="BZ71" s="438"/>
      <c r="CA71" s="438"/>
      <c r="CB71" s="438"/>
      <c r="CC71" s="438"/>
      <c r="CD71" s="438"/>
      <c r="CE71" s="438"/>
      <c r="CF71" s="438"/>
      <c r="CG71" s="438"/>
      <c r="CH71" s="438"/>
      <c r="CI71" s="439"/>
      <c r="CO71" s="413">
        <v>0.309999999999999</v>
      </c>
      <c r="CP71" s="437"/>
      <c r="CQ71" s="438"/>
      <c r="CR71" s="438"/>
      <c r="CS71" s="438"/>
      <c r="CT71" s="438"/>
      <c r="CU71" s="438"/>
      <c r="CV71" s="438"/>
      <c r="CW71" s="438"/>
      <c r="CX71" s="438"/>
      <c r="CY71" s="438"/>
      <c r="CZ71" s="438"/>
      <c r="DA71" s="438"/>
      <c r="DB71" s="438"/>
      <c r="DC71" s="438"/>
      <c r="DD71" s="438"/>
      <c r="DE71" s="438"/>
      <c r="DF71" s="438"/>
      <c r="DG71" s="438"/>
      <c r="DH71" s="438"/>
      <c r="DI71" s="438"/>
      <c r="DJ71" s="438"/>
      <c r="DK71" s="438"/>
      <c r="DL71" s="438"/>
      <c r="DM71" s="439"/>
      <c r="DS71" s="413">
        <v>0.309999999999999</v>
      </c>
      <c r="DT71" s="437"/>
      <c r="DU71" s="438"/>
      <c r="DV71" s="438"/>
      <c r="DW71" s="438"/>
      <c r="DX71" s="438"/>
      <c r="DY71" s="438"/>
      <c r="DZ71" s="438"/>
      <c r="EA71" s="438"/>
      <c r="EB71" s="438"/>
      <c r="EC71" s="438"/>
      <c r="ED71" s="438"/>
      <c r="EE71" s="438"/>
      <c r="EF71" s="438"/>
      <c r="EG71" s="438"/>
      <c r="EH71" s="438"/>
      <c r="EI71" s="438"/>
      <c r="EJ71" s="438"/>
      <c r="EK71" s="438"/>
      <c r="EL71" s="438"/>
      <c r="EM71" s="438"/>
      <c r="EN71" s="438"/>
      <c r="EO71" s="438"/>
      <c r="EP71" s="438"/>
      <c r="EQ71" s="439"/>
    </row>
    <row r="72" spans="3:147" x14ac:dyDescent="0.35">
      <c r="C72" s="413">
        <v>0.29999999999999899</v>
      </c>
      <c r="D72" s="420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21"/>
      <c r="AG72" s="413">
        <v>0.29999999999999899</v>
      </c>
      <c r="AH72" s="428"/>
      <c r="AI72" s="414"/>
      <c r="AJ72" s="414"/>
      <c r="AK72" s="414"/>
      <c r="AL72" s="414"/>
      <c r="AM72" s="414"/>
      <c r="AN72" s="414"/>
      <c r="AO72" s="414"/>
      <c r="AP72" s="414"/>
      <c r="AQ72" s="414"/>
      <c r="AR72" s="414"/>
      <c r="AS72" s="414"/>
      <c r="AT72" s="414"/>
      <c r="AU72" s="414"/>
      <c r="AV72" s="414"/>
      <c r="AW72" s="414"/>
      <c r="AX72" s="414"/>
      <c r="AY72" s="414"/>
      <c r="AZ72" s="414"/>
      <c r="BA72" s="414"/>
      <c r="BB72" s="414"/>
      <c r="BC72" s="414"/>
      <c r="BD72" s="414"/>
      <c r="BE72" s="429"/>
      <c r="BK72" s="413">
        <v>0.29999999999999899</v>
      </c>
      <c r="BL72" s="437"/>
      <c r="BM72" s="438"/>
      <c r="BN72" s="438"/>
      <c r="BO72" s="438"/>
      <c r="BP72" s="438"/>
      <c r="BQ72" s="438"/>
      <c r="BR72" s="438"/>
      <c r="BS72" s="438"/>
      <c r="BT72" s="438"/>
      <c r="BU72" s="438"/>
      <c r="BV72" s="438"/>
      <c r="BW72" s="438"/>
      <c r="BX72" s="438"/>
      <c r="BY72" s="438"/>
      <c r="BZ72" s="438"/>
      <c r="CA72" s="438"/>
      <c r="CB72" s="438"/>
      <c r="CC72" s="438"/>
      <c r="CD72" s="438"/>
      <c r="CE72" s="438"/>
      <c r="CF72" s="438"/>
      <c r="CG72" s="438"/>
      <c r="CH72" s="438"/>
      <c r="CI72" s="439"/>
      <c r="CO72" s="413">
        <v>0.29999999999999899</v>
      </c>
      <c r="CP72" s="437"/>
      <c r="CQ72" s="438"/>
      <c r="CR72" s="438"/>
      <c r="CS72" s="438"/>
      <c r="CT72" s="438"/>
      <c r="CU72" s="438"/>
      <c r="CV72" s="438"/>
      <c r="CW72" s="438"/>
      <c r="CX72" s="438"/>
      <c r="CY72" s="438"/>
      <c r="CZ72" s="438"/>
      <c r="DA72" s="438"/>
      <c r="DB72" s="438"/>
      <c r="DC72" s="438"/>
      <c r="DD72" s="438"/>
      <c r="DE72" s="438"/>
      <c r="DF72" s="438"/>
      <c r="DG72" s="438"/>
      <c r="DH72" s="438"/>
      <c r="DI72" s="438"/>
      <c r="DJ72" s="438"/>
      <c r="DK72" s="438"/>
      <c r="DL72" s="438"/>
      <c r="DM72" s="439"/>
      <c r="DS72" s="413">
        <v>0.29999999999999899</v>
      </c>
      <c r="DT72" s="437"/>
      <c r="DU72" s="438"/>
      <c r="DV72" s="438"/>
      <c r="DW72" s="438"/>
      <c r="DX72" s="438"/>
      <c r="DY72" s="438"/>
      <c r="DZ72" s="438"/>
      <c r="EA72" s="438"/>
      <c r="EB72" s="438"/>
      <c r="EC72" s="438"/>
      <c r="ED72" s="438"/>
      <c r="EE72" s="438"/>
      <c r="EF72" s="438"/>
      <c r="EG72" s="438"/>
      <c r="EH72" s="438"/>
      <c r="EI72" s="438"/>
      <c r="EJ72" s="438"/>
      <c r="EK72" s="438"/>
      <c r="EL72" s="438"/>
      <c r="EM72" s="438"/>
      <c r="EN72" s="438"/>
      <c r="EO72" s="438"/>
      <c r="EP72" s="438"/>
      <c r="EQ72" s="439"/>
    </row>
    <row r="73" spans="3:147" x14ac:dyDescent="0.35">
      <c r="C73" s="413">
        <v>0.28999999999999898</v>
      </c>
      <c r="D73" s="420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21"/>
      <c r="AG73" s="413">
        <v>0.28999999999999898</v>
      </c>
      <c r="AH73" s="428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414"/>
      <c r="BC73" s="414"/>
      <c r="BD73" s="414"/>
      <c r="BE73" s="429"/>
      <c r="BK73" s="413">
        <v>0.28999999999999898</v>
      </c>
      <c r="BL73" s="437"/>
      <c r="BM73" s="438"/>
      <c r="BN73" s="438"/>
      <c r="BO73" s="438"/>
      <c r="BP73" s="438"/>
      <c r="BQ73" s="438"/>
      <c r="BR73" s="438"/>
      <c r="BS73" s="438"/>
      <c r="BT73" s="438"/>
      <c r="BU73" s="438"/>
      <c r="BV73" s="438"/>
      <c r="BW73" s="438"/>
      <c r="BX73" s="438"/>
      <c r="BY73" s="438"/>
      <c r="BZ73" s="438"/>
      <c r="CA73" s="438"/>
      <c r="CB73" s="438"/>
      <c r="CC73" s="438"/>
      <c r="CD73" s="438"/>
      <c r="CE73" s="438"/>
      <c r="CF73" s="438"/>
      <c r="CG73" s="438"/>
      <c r="CH73" s="438"/>
      <c r="CI73" s="439"/>
      <c r="CO73" s="413">
        <v>0.28999999999999898</v>
      </c>
      <c r="CP73" s="437"/>
      <c r="CQ73" s="438"/>
      <c r="CR73" s="438"/>
      <c r="CS73" s="438"/>
      <c r="CT73" s="438"/>
      <c r="CU73" s="438"/>
      <c r="CV73" s="438"/>
      <c r="CW73" s="438"/>
      <c r="CX73" s="438"/>
      <c r="CY73" s="438"/>
      <c r="CZ73" s="438"/>
      <c r="DA73" s="438"/>
      <c r="DB73" s="438"/>
      <c r="DC73" s="438"/>
      <c r="DD73" s="438"/>
      <c r="DE73" s="438"/>
      <c r="DF73" s="438"/>
      <c r="DG73" s="438"/>
      <c r="DH73" s="438"/>
      <c r="DI73" s="438"/>
      <c r="DJ73" s="438"/>
      <c r="DK73" s="438"/>
      <c r="DL73" s="438"/>
      <c r="DM73" s="439"/>
      <c r="DS73" s="413">
        <v>0.28999999999999898</v>
      </c>
      <c r="DT73" s="437"/>
      <c r="DU73" s="438"/>
      <c r="DV73" s="438"/>
      <c r="DW73" s="438"/>
      <c r="DX73" s="438"/>
      <c r="DY73" s="438"/>
      <c r="DZ73" s="438"/>
      <c r="EA73" s="438"/>
      <c r="EB73" s="438"/>
      <c r="EC73" s="438"/>
      <c r="ED73" s="438"/>
      <c r="EE73" s="438"/>
      <c r="EF73" s="438"/>
      <c r="EG73" s="438"/>
      <c r="EH73" s="438"/>
      <c r="EI73" s="438"/>
      <c r="EJ73" s="438"/>
      <c r="EK73" s="438"/>
      <c r="EL73" s="438"/>
      <c r="EM73" s="438"/>
      <c r="EN73" s="438"/>
      <c r="EO73" s="438"/>
      <c r="EP73" s="438"/>
      <c r="EQ73" s="439"/>
    </row>
    <row r="74" spans="3:147" x14ac:dyDescent="0.35">
      <c r="C74" s="413">
        <v>0.27999999999999903</v>
      </c>
      <c r="D74" s="420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21"/>
      <c r="AG74" s="413">
        <v>0.27999999999999903</v>
      </c>
      <c r="AH74" s="428"/>
      <c r="AI74" s="414"/>
      <c r="AJ74" s="414"/>
      <c r="AK74" s="414"/>
      <c r="AL74" s="414"/>
      <c r="AM74" s="414"/>
      <c r="AN74" s="414"/>
      <c r="AO74" s="414"/>
      <c r="AP74" s="414"/>
      <c r="AQ74" s="414"/>
      <c r="AR74" s="414"/>
      <c r="AS74" s="414"/>
      <c r="AT74" s="414"/>
      <c r="AU74" s="414"/>
      <c r="AV74" s="414"/>
      <c r="AW74" s="414"/>
      <c r="AX74" s="414"/>
      <c r="AY74" s="414"/>
      <c r="AZ74" s="414"/>
      <c r="BA74" s="414"/>
      <c r="BB74" s="414"/>
      <c r="BC74" s="414"/>
      <c r="BD74" s="414"/>
      <c r="BE74" s="429"/>
      <c r="BK74" s="413">
        <v>0.27999999999999903</v>
      </c>
      <c r="BL74" s="437"/>
      <c r="BM74" s="438"/>
      <c r="BN74" s="438"/>
      <c r="BO74" s="438"/>
      <c r="BP74" s="438"/>
      <c r="BQ74" s="438"/>
      <c r="BR74" s="438"/>
      <c r="BS74" s="438"/>
      <c r="BT74" s="438"/>
      <c r="BU74" s="438"/>
      <c r="BV74" s="438"/>
      <c r="BW74" s="438"/>
      <c r="BX74" s="438"/>
      <c r="BY74" s="438"/>
      <c r="BZ74" s="438"/>
      <c r="CA74" s="438"/>
      <c r="CB74" s="438"/>
      <c r="CC74" s="438"/>
      <c r="CD74" s="438"/>
      <c r="CE74" s="438"/>
      <c r="CF74" s="438"/>
      <c r="CG74" s="438"/>
      <c r="CH74" s="438"/>
      <c r="CI74" s="439"/>
      <c r="CO74" s="413">
        <v>0.27999999999999903</v>
      </c>
      <c r="CP74" s="437"/>
      <c r="CQ74" s="438"/>
      <c r="CR74" s="438"/>
      <c r="CS74" s="438"/>
      <c r="CT74" s="438"/>
      <c r="CU74" s="438"/>
      <c r="CV74" s="438"/>
      <c r="CW74" s="438"/>
      <c r="CX74" s="438"/>
      <c r="CY74" s="438"/>
      <c r="CZ74" s="438"/>
      <c r="DA74" s="438"/>
      <c r="DB74" s="438"/>
      <c r="DC74" s="438"/>
      <c r="DD74" s="438"/>
      <c r="DE74" s="438"/>
      <c r="DF74" s="438"/>
      <c r="DG74" s="438"/>
      <c r="DH74" s="438"/>
      <c r="DI74" s="438"/>
      <c r="DJ74" s="438"/>
      <c r="DK74" s="438"/>
      <c r="DL74" s="438"/>
      <c r="DM74" s="439"/>
      <c r="DS74" s="413">
        <v>0.27999999999999903</v>
      </c>
      <c r="DT74" s="437"/>
      <c r="DU74" s="438"/>
      <c r="DV74" s="438"/>
      <c r="DW74" s="438"/>
      <c r="DX74" s="438"/>
      <c r="DY74" s="438"/>
      <c r="DZ74" s="438"/>
      <c r="EA74" s="438"/>
      <c r="EB74" s="438"/>
      <c r="EC74" s="438"/>
      <c r="ED74" s="438"/>
      <c r="EE74" s="438"/>
      <c r="EF74" s="438"/>
      <c r="EG74" s="438"/>
      <c r="EH74" s="438"/>
      <c r="EI74" s="438"/>
      <c r="EJ74" s="438"/>
      <c r="EK74" s="438"/>
      <c r="EL74" s="438"/>
      <c r="EM74" s="438"/>
      <c r="EN74" s="438"/>
      <c r="EO74" s="438"/>
      <c r="EP74" s="438"/>
      <c r="EQ74" s="439"/>
    </row>
    <row r="75" spans="3:147" x14ac:dyDescent="0.35">
      <c r="C75" s="413">
        <v>0.26999999999999902</v>
      </c>
      <c r="D75" s="420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21"/>
      <c r="AG75" s="413">
        <v>0.26999999999999902</v>
      </c>
      <c r="AH75" s="428"/>
      <c r="AI75" s="414"/>
      <c r="AJ75" s="414"/>
      <c r="AK75" s="414"/>
      <c r="AL75" s="414"/>
      <c r="AM75" s="414"/>
      <c r="AN75" s="414"/>
      <c r="AO75" s="414"/>
      <c r="AP75" s="414"/>
      <c r="AQ75" s="414"/>
      <c r="AR75" s="414"/>
      <c r="AS75" s="414"/>
      <c r="AT75" s="414"/>
      <c r="AU75" s="414"/>
      <c r="AV75" s="414"/>
      <c r="AW75" s="414"/>
      <c r="AX75" s="414"/>
      <c r="AY75" s="414"/>
      <c r="AZ75" s="414"/>
      <c r="BA75" s="414"/>
      <c r="BB75" s="414"/>
      <c r="BC75" s="414"/>
      <c r="BD75" s="414"/>
      <c r="BE75" s="429"/>
      <c r="BK75" s="413">
        <v>0.26999999999999902</v>
      </c>
      <c r="BL75" s="437"/>
      <c r="BM75" s="438"/>
      <c r="BN75" s="438"/>
      <c r="BO75" s="438"/>
      <c r="BP75" s="438"/>
      <c r="BQ75" s="438"/>
      <c r="BR75" s="438"/>
      <c r="BS75" s="438"/>
      <c r="BT75" s="438"/>
      <c r="BU75" s="438"/>
      <c r="BV75" s="438"/>
      <c r="BW75" s="438"/>
      <c r="BX75" s="438"/>
      <c r="BY75" s="438"/>
      <c r="BZ75" s="438"/>
      <c r="CA75" s="438"/>
      <c r="CB75" s="438"/>
      <c r="CC75" s="438"/>
      <c r="CD75" s="438"/>
      <c r="CE75" s="438"/>
      <c r="CF75" s="438"/>
      <c r="CG75" s="438"/>
      <c r="CH75" s="438"/>
      <c r="CI75" s="439"/>
      <c r="CO75" s="413">
        <v>0.26999999999999902</v>
      </c>
      <c r="CP75" s="437"/>
      <c r="CQ75" s="438"/>
      <c r="CR75" s="438"/>
      <c r="CS75" s="438"/>
      <c r="CT75" s="438"/>
      <c r="CU75" s="438"/>
      <c r="CV75" s="438"/>
      <c r="CW75" s="438"/>
      <c r="CX75" s="438"/>
      <c r="CY75" s="438"/>
      <c r="CZ75" s="438"/>
      <c r="DA75" s="438"/>
      <c r="DB75" s="438"/>
      <c r="DC75" s="438"/>
      <c r="DD75" s="438"/>
      <c r="DE75" s="438"/>
      <c r="DF75" s="438"/>
      <c r="DG75" s="438"/>
      <c r="DH75" s="438"/>
      <c r="DI75" s="438"/>
      <c r="DJ75" s="438"/>
      <c r="DK75" s="438"/>
      <c r="DL75" s="438"/>
      <c r="DM75" s="439"/>
      <c r="DS75" s="413">
        <v>0.26999999999999902</v>
      </c>
      <c r="DT75" s="437"/>
      <c r="DU75" s="438"/>
      <c r="DV75" s="438"/>
      <c r="DW75" s="438"/>
      <c r="DX75" s="438"/>
      <c r="DY75" s="438"/>
      <c r="DZ75" s="438"/>
      <c r="EA75" s="438"/>
      <c r="EB75" s="438"/>
      <c r="EC75" s="438"/>
      <c r="ED75" s="438"/>
      <c r="EE75" s="438"/>
      <c r="EF75" s="438"/>
      <c r="EG75" s="438"/>
      <c r="EH75" s="438"/>
      <c r="EI75" s="438"/>
      <c r="EJ75" s="438"/>
      <c r="EK75" s="438"/>
      <c r="EL75" s="438"/>
      <c r="EM75" s="438"/>
      <c r="EN75" s="438"/>
      <c r="EO75" s="438"/>
      <c r="EP75" s="438"/>
      <c r="EQ75" s="439"/>
    </row>
    <row r="76" spans="3:147" x14ac:dyDescent="0.35">
      <c r="C76" s="413">
        <v>0.25999999999999901</v>
      </c>
      <c r="D76" s="420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21"/>
      <c r="AG76" s="413">
        <v>0.25999999999999901</v>
      </c>
      <c r="AH76" s="428"/>
      <c r="AI76" s="414"/>
      <c r="AJ76" s="414"/>
      <c r="AK76" s="414"/>
      <c r="AL76" s="414"/>
      <c r="AM76" s="414"/>
      <c r="AN76" s="414"/>
      <c r="AO76" s="414"/>
      <c r="AP76" s="414"/>
      <c r="AQ76" s="414"/>
      <c r="AR76" s="414"/>
      <c r="AS76" s="414"/>
      <c r="AT76" s="414"/>
      <c r="AU76" s="414"/>
      <c r="AV76" s="414"/>
      <c r="AW76" s="414"/>
      <c r="AX76" s="414"/>
      <c r="AY76" s="414"/>
      <c r="AZ76" s="414"/>
      <c r="BA76" s="414"/>
      <c r="BB76" s="414"/>
      <c r="BC76" s="414"/>
      <c r="BD76" s="414"/>
      <c r="BE76" s="429"/>
      <c r="BK76" s="413">
        <v>0.25999999999999901</v>
      </c>
      <c r="BL76" s="437"/>
      <c r="BM76" s="438"/>
      <c r="BN76" s="438"/>
      <c r="BO76" s="438"/>
      <c r="BP76" s="438"/>
      <c r="BQ76" s="438"/>
      <c r="BR76" s="438"/>
      <c r="BS76" s="438"/>
      <c r="BT76" s="438"/>
      <c r="BU76" s="438"/>
      <c r="BV76" s="438"/>
      <c r="BW76" s="438"/>
      <c r="BX76" s="438"/>
      <c r="BY76" s="438"/>
      <c r="BZ76" s="438"/>
      <c r="CA76" s="438"/>
      <c r="CB76" s="438"/>
      <c r="CC76" s="438"/>
      <c r="CD76" s="438"/>
      <c r="CE76" s="438"/>
      <c r="CF76" s="438"/>
      <c r="CG76" s="438"/>
      <c r="CH76" s="438"/>
      <c r="CI76" s="439"/>
      <c r="CO76" s="413">
        <v>0.25999999999999901</v>
      </c>
      <c r="CP76" s="437"/>
      <c r="CQ76" s="438"/>
      <c r="CR76" s="438"/>
      <c r="CS76" s="438"/>
      <c r="CT76" s="438"/>
      <c r="CU76" s="438"/>
      <c r="CV76" s="438"/>
      <c r="CW76" s="438"/>
      <c r="CX76" s="438"/>
      <c r="CY76" s="438"/>
      <c r="CZ76" s="438"/>
      <c r="DA76" s="438"/>
      <c r="DB76" s="438"/>
      <c r="DC76" s="438"/>
      <c r="DD76" s="438"/>
      <c r="DE76" s="438"/>
      <c r="DF76" s="438"/>
      <c r="DG76" s="438"/>
      <c r="DH76" s="438"/>
      <c r="DI76" s="438"/>
      <c r="DJ76" s="438"/>
      <c r="DK76" s="438"/>
      <c r="DL76" s="438"/>
      <c r="DM76" s="439"/>
      <c r="DS76" s="413">
        <v>0.25999999999999901</v>
      </c>
      <c r="DT76" s="437"/>
      <c r="DU76" s="438"/>
      <c r="DV76" s="438"/>
      <c r="DW76" s="438"/>
      <c r="DX76" s="438"/>
      <c r="DY76" s="438"/>
      <c r="DZ76" s="438"/>
      <c r="EA76" s="438"/>
      <c r="EB76" s="438"/>
      <c r="EC76" s="438"/>
      <c r="ED76" s="438"/>
      <c r="EE76" s="438"/>
      <c r="EF76" s="438"/>
      <c r="EG76" s="438"/>
      <c r="EH76" s="438"/>
      <c r="EI76" s="438"/>
      <c r="EJ76" s="438"/>
      <c r="EK76" s="438"/>
      <c r="EL76" s="438"/>
      <c r="EM76" s="438"/>
      <c r="EN76" s="438"/>
      <c r="EO76" s="438"/>
      <c r="EP76" s="438"/>
      <c r="EQ76" s="439"/>
    </row>
    <row r="77" spans="3:147" x14ac:dyDescent="0.35">
      <c r="C77" s="413">
        <v>0.249999999999999</v>
      </c>
      <c r="D77" s="420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21"/>
      <c r="AG77" s="413">
        <v>0.249999999999999</v>
      </c>
      <c r="AH77" s="428"/>
      <c r="AI77" s="414"/>
      <c r="AJ77" s="414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B77" s="414"/>
      <c r="BC77" s="414"/>
      <c r="BD77" s="414"/>
      <c r="BE77" s="429"/>
      <c r="BK77" s="413">
        <v>0.249999999999999</v>
      </c>
      <c r="BL77" s="437"/>
      <c r="BM77" s="438"/>
      <c r="BN77" s="438"/>
      <c r="BO77" s="438"/>
      <c r="BP77" s="438"/>
      <c r="BQ77" s="438"/>
      <c r="BR77" s="438"/>
      <c r="BS77" s="438"/>
      <c r="BT77" s="438"/>
      <c r="BU77" s="438"/>
      <c r="BV77" s="438"/>
      <c r="BW77" s="438"/>
      <c r="BX77" s="438"/>
      <c r="BY77" s="438"/>
      <c r="BZ77" s="438"/>
      <c r="CA77" s="438"/>
      <c r="CB77" s="438"/>
      <c r="CC77" s="438"/>
      <c r="CD77" s="438"/>
      <c r="CE77" s="438"/>
      <c r="CF77" s="438"/>
      <c r="CG77" s="438"/>
      <c r="CH77" s="438"/>
      <c r="CI77" s="439"/>
      <c r="CO77" s="413">
        <v>0.249999999999999</v>
      </c>
      <c r="CP77" s="437"/>
      <c r="CQ77" s="438"/>
      <c r="CR77" s="438"/>
      <c r="CS77" s="438"/>
      <c r="CT77" s="438"/>
      <c r="CU77" s="438"/>
      <c r="CV77" s="438"/>
      <c r="CW77" s="438"/>
      <c r="CX77" s="438"/>
      <c r="CY77" s="438"/>
      <c r="CZ77" s="438"/>
      <c r="DA77" s="438"/>
      <c r="DB77" s="438"/>
      <c r="DC77" s="438"/>
      <c r="DD77" s="438"/>
      <c r="DE77" s="438"/>
      <c r="DF77" s="438"/>
      <c r="DG77" s="438"/>
      <c r="DH77" s="438"/>
      <c r="DI77" s="438"/>
      <c r="DJ77" s="438"/>
      <c r="DK77" s="438"/>
      <c r="DL77" s="438"/>
      <c r="DM77" s="439"/>
      <c r="DS77" s="413">
        <v>0.249999999999999</v>
      </c>
      <c r="DT77" s="437"/>
      <c r="DU77" s="438"/>
      <c r="DV77" s="438"/>
      <c r="DW77" s="438"/>
      <c r="DX77" s="438"/>
      <c r="DY77" s="438"/>
      <c r="DZ77" s="438"/>
      <c r="EA77" s="438"/>
      <c r="EB77" s="438"/>
      <c r="EC77" s="438"/>
      <c r="ED77" s="438"/>
      <c r="EE77" s="438"/>
      <c r="EF77" s="438"/>
      <c r="EG77" s="438"/>
      <c r="EH77" s="438"/>
      <c r="EI77" s="438"/>
      <c r="EJ77" s="438"/>
      <c r="EK77" s="438"/>
      <c r="EL77" s="438"/>
      <c r="EM77" s="438"/>
      <c r="EN77" s="438"/>
      <c r="EO77" s="438"/>
      <c r="EP77" s="438"/>
      <c r="EQ77" s="439"/>
    </row>
    <row r="78" spans="3:147" x14ac:dyDescent="0.35">
      <c r="C78" s="413">
        <v>0.23999999999999899</v>
      </c>
      <c r="D78" s="420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21"/>
      <c r="AG78" s="413">
        <v>0.23999999999999899</v>
      </c>
      <c r="AH78" s="428"/>
      <c r="AI78" s="414"/>
      <c r="AJ78" s="414"/>
      <c r="AK78" s="414"/>
      <c r="AL78" s="414"/>
      <c r="AM78" s="414"/>
      <c r="AN78" s="414"/>
      <c r="AO78" s="414"/>
      <c r="AP78" s="414"/>
      <c r="AQ78" s="414"/>
      <c r="AR78" s="414"/>
      <c r="AS78" s="414"/>
      <c r="AT78" s="414"/>
      <c r="AU78" s="414"/>
      <c r="AV78" s="414"/>
      <c r="AW78" s="414"/>
      <c r="AX78" s="414"/>
      <c r="AY78" s="414"/>
      <c r="AZ78" s="414"/>
      <c r="BA78" s="414"/>
      <c r="BB78" s="414"/>
      <c r="BC78" s="414"/>
      <c r="BD78" s="414"/>
      <c r="BE78" s="429"/>
      <c r="BK78" s="413">
        <v>0.23999999999999899</v>
      </c>
      <c r="BL78" s="437"/>
      <c r="BM78" s="438"/>
      <c r="BN78" s="438"/>
      <c r="BO78" s="438"/>
      <c r="BP78" s="438"/>
      <c r="BQ78" s="438"/>
      <c r="BR78" s="438"/>
      <c r="BS78" s="438"/>
      <c r="BT78" s="438"/>
      <c r="BU78" s="438"/>
      <c r="BV78" s="438"/>
      <c r="BW78" s="438"/>
      <c r="BX78" s="438"/>
      <c r="BY78" s="438"/>
      <c r="BZ78" s="438"/>
      <c r="CA78" s="438"/>
      <c r="CB78" s="438"/>
      <c r="CC78" s="438"/>
      <c r="CD78" s="438"/>
      <c r="CE78" s="438"/>
      <c r="CF78" s="438"/>
      <c r="CG78" s="438"/>
      <c r="CH78" s="438"/>
      <c r="CI78" s="439"/>
      <c r="CO78" s="413">
        <v>0.23999999999999899</v>
      </c>
      <c r="CP78" s="437"/>
      <c r="CQ78" s="438"/>
      <c r="CR78" s="438"/>
      <c r="CS78" s="438"/>
      <c r="CT78" s="438"/>
      <c r="CU78" s="438"/>
      <c r="CV78" s="438"/>
      <c r="CW78" s="438"/>
      <c r="CX78" s="438"/>
      <c r="CY78" s="438"/>
      <c r="CZ78" s="438"/>
      <c r="DA78" s="438"/>
      <c r="DB78" s="438"/>
      <c r="DC78" s="438"/>
      <c r="DD78" s="438"/>
      <c r="DE78" s="438"/>
      <c r="DF78" s="438"/>
      <c r="DG78" s="438"/>
      <c r="DH78" s="438"/>
      <c r="DI78" s="438"/>
      <c r="DJ78" s="438"/>
      <c r="DK78" s="438"/>
      <c r="DL78" s="438"/>
      <c r="DM78" s="439"/>
      <c r="DS78" s="413">
        <v>0.23999999999999899</v>
      </c>
      <c r="DT78" s="437"/>
      <c r="DU78" s="438"/>
      <c r="DV78" s="438"/>
      <c r="DW78" s="438"/>
      <c r="DX78" s="438"/>
      <c r="DY78" s="438"/>
      <c r="DZ78" s="438"/>
      <c r="EA78" s="438"/>
      <c r="EB78" s="438"/>
      <c r="EC78" s="438"/>
      <c r="ED78" s="438"/>
      <c r="EE78" s="438"/>
      <c r="EF78" s="438"/>
      <c r="EG78" s="438"/>
      <c r="EH78" s="438"/>
      <c r="EI78" s="438"/>
      <c r="EJ78" s="438"/>
      <c r="EK78" s="438"/>
      <c r="EL78" s="438"/>
      <c r="EM78" s="438"/>
      <c r="EN78" s="438"/>
      <c r="EO78" s="438"/>
      <c r="EP78" s="438"/>
      <c r="EQ78" s="439"/>
    </row>
    <row r="79" spans="3:147" x14ac:dyDescent="0.35">
      <c r="C79" s="413">
        <v>0.22999999999999901</v>
      </c>
      <c r="D79" s="420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21"/>
      <c r="AG79" s="413">
        <v>0.22999999999999901</v>
      </c>
      <c r="AH79" s="428"/>
      <c r="AI79" s="414"/>
      <c r="AJ79" s="414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B79" s="414"/>
      <c r="BC79" s="414"/>
      <c r="BD79" s="414"/>
      <c r="BE79" s="429"/>
      <c r="BK79" s="413">
        <v>0.22999999999999901</v>
      </c>
      <c r="BL79" s="437"/>
      <c r="BM79" s="438"/>
      <c r="BN79" s="438"/>
      <c r="BO79" s="438"/>
      <c r="BP79" s="438"/>
      <c r="BQ79" s="438"/>
      <c r="BR79" s="438"/>
      <c r="BS79" s="438"/>
      <c r="BT79" s="438"/>
      <c r="BU79" s="438"/>
      <c r="BV79" s="438"/>
      <c r="BW79" s="438"/>
      <c r="BX79" s="438"/>
      <c r="BY79" s="438"/>
      <c r="BZ79" s="438"/>
      <c r="CA79" s="438"/>
      <c r="CB79" s="438"/>
      <c r="CC79" s="438"/>
      <c r="CD79" s="438"/>
      <c r="CE79" s="438"/>
      <c r="CF79" s="438"/>
      <c r="CG79" s="438"/>
      <c r="CH79" s="438"/>
      <c r="CI79" s="439"/>
      <c r="CO79" s="413">
        <v>0.22999999999999901</v>
      </c>
      <c r="CP79" s="437"/>
      <c r="CQ79" s="438"/>
      <c r="CR79" s="438"/>
      <c r="CS79" s="438"/>
      <c r="CT79" s="438"/>
      <c r="CU79" s="438"/>
      <c r="CV79" s="438"/>
      <c r="CW79" s="438"/>
      <c r="CX79" s="438"/>
      <c r="CY79" s="438"/>
      <c r="CZ79" s="438"/>
      <c r="DA79" s="438"/>
      <c r="DB79" s="438"/>
      <c r="DC79" s="438"/>
      <c r="DD79" s="438"/>
      <c r="DE79" s="438"/>
      <c r="DF79" s="438"/>
      <c r="DG79" s="438"/>
      <c r="DH79" s="438"/>
      <c r="DI79" s="438"/>
      <c r="DJ79" s="438"/>
      <c r="DK79" s="438"/>
      <c r="DL79" s="438"/>
      <c r="DM79" s="439"/>
      <c r="DS79" s="413">
        <v>0.22999999999999901</v>
      </c>
      <c r="DT79" s="437"/>
      <c r="DU79" s="438"/>
      <c r="DV79" s="438"/>
      <c r="DW79" s="438"/>
      <c r="DX79" s="438"/>
      <c r="DY79" s="438"/>
      <c r="DZ79" s="438"/>
      <c r="EA79" s="438"/>
      <c r="EB79" s="438"/>
      <c r="EC79" s="438"/>
      <c r="ED79" s="438"/>
      <c r="EE79" s="438"/>
      <c r="EF79" s="438"/>
      <c r="EG79" s="438"/>
      <c r="EH79" s="438"/>
      <c r="EI79" s="438"/>
      <c r="EJ79" s="438"/>
      <c r="EK79" s="438"/>
      <c r="EL79" s="438"/>
      <c r="EM79" s="438"/>
      <c r="EN79" s="438"/>
      <c r="EO79" s="438"/>
      <c r="EP79" s="438"/>
      <c r="EQ79" s="439"/>
    </row>
    <row r="80" spans="3:147" x14ac:dyDescent="0.35">
      <c r="C80" s="413">
        <v>0.219999999999999</v>
      </c>
      <c r="D80" s="420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21"/>
      <c r="AG80" s="413">
        <v>0.219999999999999</v>
      </c>
      <c r="AH80" s="428"/>
      <c r="AI80" s="414"/>
      <c r="AJ80" s="41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B80" s="414"/>
      <c r="BC80" s="414"/>
      <c r="BD80" s="414"/>
      <c r="BE80" s="429"/>
      <c r="BK80" s="413">
        <v>0.219999999999999</v>
      </c>
      <c r="BL80" s="437"/>
      <c r="BM80" s="438"/>
      <c r="BN80" s="438"/>
      <c r="BO80" s="438"/>
      <c r="BP80" s="438"/>
      <c r="BQ80" s="438"/>
      <c r="BR80" s="438"/>
      <c r="BS80" s="438"/>
      <c r="BT80" s="438"/>
      <c r="BU80" s="438"/>
      <c r="BV80" s="438"/>
      <c r="BW80" s="438"/>
      <c r="BX80" s="438"/>
      <c r="BY80" s="438"/>
      <c r="BZ80" s="438"/>
      <c r="CA80" s="438"/>
      <c r="CB80" s="438"/>
      <c r="CC80" s="438"/>
      <c r="CD80" s="438"/>
      <c r="CE80" s="438"/>
      <c r="CF80" s="438"/>
      <c r="CG80" s="438"/>
      <c r="CH80" s="438"/>
      <c r="CI80" s="439"/>
      <c r="CO80" s="413">
        <v>0.219999999999999</v>
      </c>
      <c r="CP80" s="437"/>
      <c r="CQ80" s="438"/>
      <c r="CR80" s="438"/>
      <c r="CS80" s="438"/>
      <c r="CT80" s="438"/>
      <c r="CU80" s="438"/>
      <c r="CV80" s="438"/>
      <c r="CW80" s="438"/>
      <c r="CX80" s="438"/>
      <c r="CY80" s="438"/>
      <c r="CZ80" s="438"/>
      <c r="DA80" s="438"/>
      <c r="DB80" s="438"/>
      <c r="DC80" s="438"/>
      <c r="DD80" s="438"/>
      <c r="DE80" s="438"/>
      <c r="DF80" s="438"/>
      <c r="DG80" s="438"/>
      <c r="DH80" s="438"/>
      <c r="DI80" s="438"/>
      <c r="DJ80" s="438"/>
      <c r="DK80" s="438"/>
      <c r="DL80" s="438"/>
      <c r="DM80" s="439"/>
      <c r="DS80" s="413">
        <v>0.219999999999999</v>
      </c>
      <c r="DT80" s="437"/>
      <c r="DU80" s="438"/>
      <c r="DV80" s="438"/>
      <c r="DW80" s="438"/>
      <c r="DX80" s="438"/>
      <c r="DY80" s="438"/>
      <c r="DZ80" s="438"/>
      <c r="EA80" s="438"/>
      <c r="EB80" s="438"/>
      <c r="EC80" s="438"/>
      <c r="ED80" s="438"/>
      <c r="EE80" s="438"/>
      <c r="EF80" s="438"/>
      <c r="EG80" s="438"/>
      <c r="EH80" s="438"/>
      <c r="EI80" s="438"/>
      <c r="EJ80" s="438"/>
      <c r="EK80" s="438"/>
      <c r="EL80" s="438"/>
      <c r="EM80" s="438"/>
      <c r="EN80" s="438"/>
      <c r="EO80" s="438"/>
      <c r="EP80" s="438"/>
      <c r="EQ80" s="439"/>
    </row>
    <row r="81" spans="2:147" x14ac:dyDescent="0.35">
      <c r="C81" s="413">
        <v>0.20999999999999899</v>
      </c>
      <c r="D81" s="420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21"/>
      <c r="AG81" s="413">
        <v>0.20999999999999899</v>
      </c>
      <c r="AH81" s="428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414"/>
      <c r="BC81" s="414"/>
      <c r="BD81" s="414"/>
      <c r="BE81" s="429"/>
      <c r="BK81" s="413">
        <v>0.20999999999999899</v>
      </c>
      <c r="BL81" s="437"/>
      <c r="BM81" s="438"/>
      <c r="BN81" s="438"/>
      <c r="BO81" s="438"/>
      <c r="BP81" s="438"/>
      <c r="BQ81" s="438"/>
      <c r="BR81" s="438"/>
      <c r="BS81" s="438"/>
      <c r="BT81" s="438"/>
      <c r="BU81" s="438"/>
      <c r="BV81" s="438"/>
      <c r="BW81" s="438"/>
      <c r="BX81" s="438"/>
      <c r="BY81" s="438"/>
      <c r="BZ81" s="438"/>
      <c r="CA81" s="438"/>
      <c r="CB81" s="438"/>
      <c r="CC81" s="438"/>
      <c r="CD81" s="438"/>
      <c r="CE81" s="438"/>
      <c r="CF81" s="438"/>
      <c r="CG81" s="438"/>
      <c r="CH81" s="438"/>
      <c r="CI81" s="439"/>
      <c r="CO81" s="413">
        <v>0.20999999999999899</v>
      </c>
      <c r="CP81" s="437"/>
      <c r="CQ81" s="438"/>
      <c r="CR81" s="438"/>
      <c r="CS81" s="438"/>
      <c r="CT81" s="438"/>
      <c r="CU81" s="438"/>
      <c r="CV81" s="438"/>
      <c r="CW81" s="438"/>
      <c r="CX81" s="438"/>
      <c r="CY81" s="438"/>
      <c r="CZ81" s="438"/>
      <c r="DA81" s="438"/>
      <c r="DB81" s="438"/>
      <c r="DC81" s="438"/>
      <c r="DD81" s="438"/>
      <c r="DE81" s="438"/>
      <c r="DF81" s="438"/>
      <c r="DG81" s="438"/>
      <c r="DH81" s="438"/>
      <c r="DI81" s="438"/>
      <c r="DJ81" s="438"/>
      <c r="DK81" s="438"/>
      <c r="DL81" s="438"/>
      <c r="DM81" s="439"/>
      <c r="DS81" s="413">
        <v>0.20999999999999899</v>
      </c>
      <c r="DT81" s="437"/>
      <c r="DU81" s="438"/>
      <c r="DV81" s="438"/>
      <c r="DW81" s="438"/>
      <c r="DX81" s="438"/>
      <c r="DY81" s="438"/>
      <c r="DZ81" s="438"/>
      <c r="EA81" s="438"/>
      <c r="EB81" s="438"/>
      <c r="EC81" s="438"/>
      <c r="ED81" s="438"/>
      <c r="EE81" s="438"/>
      <c r="EF81" s="438"/>
      <c r="EG81" s="438"/>
      <c r="EH81" s="438"/>
      <c r="EI81" s="438"/>
      <c r="EJ81" s="438"/>
      <c r="EK81" s="438"/>
      <c r="EL81" s="438"/>
      <c r="EM81" s="438"/>
      <c r="EN81" s="438"/>
      <c r="EO81" s="438"/>
      <c r="EP81" s="438"/>
      <c r="EQ81" s="439"/>
    </row>
    <row r="82" spans="2:147" x14ac:dyDescent="0.35">
      <c r="C82" s="413">
        <v>0.19999999999999901</v>
      </c>
      <c r="D82" s="420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21"/>
      <c r="AG82" s="413">
        <v>0.19999999999999901</v>
      </c>
      <c r="AH82" s="428"/>
      <c r="AI82" s="414"/>
      <c r="AJ82" s="414"/>
      <c r="AK82" s="414"/>
      <c r="AL82" s="414"/>
      <c r="AM82" s="414"/>
      <c r="AN82" s="414"/>
      <c r="AO82" s="414"/>
      <c r="AP82" s="414"/>
      <c r="AQ82" s="414"/>
      <c r="AR82" s="414"/>
      <c r="AS82" s="414"/>
      <c r="AT82" s="414"/>
      <c r="AU82" s="414"/>
      <c r="AV82" s="414"/>
      <c r="AW82" s="414"/>
      <c r="AX82" s="414"/>
      <c r="AY82" s="414"/>
      <c r="AZ82" s="414"/>
      <c r="BA82" s="414"/>
      <c r="BB82" s="414"/>
      <c r="BC82" s="414"/>
      <c r="BD82" s="414"/>
      <c r="BE82" s="429"/>
      <c r="BK82" s="413">
        <v>0.19999999999999901</v>
      </c>
      <c r="BL82" s="437"/>
      <c r="BM82" s="438"/>
      <c r="BN82" s="438"/>
      <c r="BO82" s="438"/>
      <c r="BP82" s="438"/>
      <c r="BQ82" s="438"/>
      <c r="BR82" s="438"/>
      <c r="BS82" s="438"/>
      <c r="BT82" s="438"/>
      <c r="BU82" s="438"/>
      <c r="BV82" s="438"/>
      <c r="BW82" s="438"/>
      <c r="BX82" s="438"/>
      <c r="BY82" s="438"/>
      <c r="BZ82" s="438"/>
      <c r="CA82" s="438"/>
      <c r="CB82" s="438"/>
      <c r="CC82" s="438"/>
      <c r="CD82" s="438"/>
      <c r="CE82" s="438"/>
      <c r="CF82" s="438"/>
      <c r="CG82" s="438"/>
      <c r="CH82" s="438"/>
      <c r="CI82" s="439"/>
      <c r="CO82" s="413">
        <v>0.19999999999999901</v>
      </c>
      <c r="CP82" s="437"/>
      <c r="CQ82" s="438"/>
      <c r="CR82" s="438"/>
      <c r="CS82" s="438"/>
      <c r="CT82" s="438"/>
      <c r="CU82" s="438"/>
      <c r="CV82" s="438"/>
      <c r="CW82" s="438"/>
      <c r="CX82" s="438"/>
      <c r="CY82" s="438"/>
      <c r="CZ82" s="438"/>
      <c r="DA82" s="438"/>
      <c r="DB82" s="438"/>
      <c r="DC82" s="438"/>
      <c r="DD82" s="438"/>
      <c r="DE82" s="438"/>
      <c r="DF82" s="438"/>
      <c r="DG82" s="438"/>
      <c r="DH82" s="438"/>
      <c r="DI82" s="438"/>
      <c r="DJ82" s="438"/>
      <c r="DK82" s="438"/>
      <c r="DL82" s="438"/>
      <c r="DM82" s="439"/>
      <c r="DS82" s="413">
        <v>0.19999999999999901</v>
      </c>
      <c r="DT82" s="437"/>
      <c r="DU82" s="438"/>
      <c r="DV82" s="438"/>
      <c r="DW82" s="438"/>
      <c r="DX82" s="438"/>
      <c r="DY82" s="438"/>
      <c r="DZ82" s="438"/>
      <c r="EA82" s="438"/>
      <c r="EB82" s="438"/>
      <c r="EC82" s="438"/>
      <c r="ED82" s="438"/>
      <c r="EE82" s="438"/>
      <c r="EF82" s="438"/>
      <c r="EG82" s="438"/>
      <c r="EH82" s="438"/>
      <c r="EI82" s="438"/>
      <c r="EJ82" s="438"/>
      <c r="EK82" s="438"/>
      <c r="EL82" s="438"/>
      <c r="EM82" s="438"/>
      <c r="EN82" s="438"/>
      <c r="EO82" s="438"/>
      <c r="EP82" s="438"/>
      <c r="EQ82" s="439"/>
    </row>
    <row r="83" spans="2:147" x14ac:dyDescent="0.35">
      <c r="C83" s="413">
        <v>0.189999999999999</v>
      </c>
      <c r="D83" s="420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21"/>
      <c r="AG83" s="413">
        <v>0.189999999999999</v>
      </c>
      <c r="AH83" s="428"/>
      <c r="AI83" s="414"/>
      <c r="AJ83" s="414"/>
      <c r="AK83" s="414"/>
      <c r="AL83" s="414"/>
      <c r="AM83" s="414"/>
      <c r="AN83" s="414"/>
      <c r="AO83" s="414"/>
      <c r="AP83" s="414"/>
      <c r="AQ83" s="414"/>
      <c r="AR83" s="414"/>
      <c r="AS83" s="414"/>
      <c r="AT83" s="414"/>
      <c r="AU83" s="414"/>
      <c r="AV83" s="414"/>
      <c r="AW83" s="414"/>
      <c r="AX83" s="414"/>
      <c r="AY83" s="414"/>
      <c r="AZ83" s="414"/>
      <c r="BA83" s="414"/>
      <c r="BB83" s="414"/>
      <c r="BC83" s="414"/>
      <c r="BD83" s="414"/>
      <c r="BE83" s="429"/>
      <c r="BK83" s="413">
        <v>0.189999999999999</v>
      </c>
      <c r="BL83" s="437"/>
      <c r="BM83" s="438"/>
      <c r="BN83" s="438"/>
      <c r="BO83" s="438"/>
      <c r="BP83" s="438"/>
      <c r="BQ83" s="438"/>
      <c r="BR83" s="438"/>
      <c r="BS83" s="438"/>
      <c r="BT83" s="438"/>
      <c r="BU83" s="438"/>
      <c r="BV83" s="438"/>
      <c r="BW83" s="438"/>
      <c r="BX83" s="438"/>
      <c r="BY83" s="438"/>
      <c r="BZ83" s="438"/>
      <c r="CA83" s="438"/>
      <c r="CB83" s="438"/>
      <c r="CC83" s="438"/>
      <c r="CD83" s="438"/>
      <c r="CE83" s="438"/>
      <c r="CF83" s="438"/>
      <c r="CG83" s="438"/>
      <c r="CH83" s="438"/>
      <c r="CI83" s="439"/>
      <c r="CO83" s="413">
        <v>0.189999999999999</v>
      </c>
      <c r="CP83" s="437"/>
      <c r="CQ83" s="438"/>
      <c r="CR83" s="438"/>
      <c r="CS83" s="438"/>
      <c r="CT83" s="438"/>
      <c r="CU83" s="438"/>
      <c r="CV83" s="438"/>
      <c r="CW83" s="438"/>
      <c r="CX83" s="438"/>
      <c r="CY83" s="438"/>
      <c r="CZ83" s="438"/>
      <c r="DA83" s="438"/>
      <c r="DB83" s="438"/>
      <c r="DC83" s="438"/>
      <c r="DD83" s="438"/>
      <c r="DE83" s="438"/>
      <c r="DF83" s="438"/>
      <c r="DG83" s="438"/>
      <c r="DH83" s="438"/>
      <c r="DI83" s="438"/>
      <c r="DJ83" s="438"/>
      <c r="DK83" s="438"/>
      <c r="DL83" s="438"/>
      <c r="DM83" s="439"/>
      <c r="DS83" s="413">
        <v>0.189999999999999</v>
      </c>
      <c r="DT83" s="437"/>
      <c r="DU83" s="438"/>
      <c r="DV83" s="438"/>
      <c r="DW83" s="438"/>
      <c r="DX83" s="438"/>
      <c r="DY83" s="438"/>
      <c r="DZ83" s="438"/>
      <c r="EA83" s="438"/>
      <c r="EB83" s="438"/>
      <c r="EC83" s="438"/>
      <c r="ED83" s="438"/>
      <c r="EE83" s="438"/>
      <c r="EF83" s="438"/>
      <c r="EG83" s="438"/>
      <c r="EH83" s="438"/>
      <c r="EI83" s="438"/>
      <c r="EJ83" s="438"/>
      <c r="EK83" s="438"/>
      <c r="EL83" s="438"/>
      <c r="EM83" s="438"/>
      <c r="EN83" s="438"/>
      <c r="EO83" s="438"/>
      <c r="EP83" s="438"/>
      <c r="EQ83" s="439"/>
    </row>
    <row r="84" spans="2:147" x14ac:dyDescent="0.35">
      <c r="C84" s="413">
        <v>0.17999999999999899</v>
      </c>
      <c r="D84" s="420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21"/>
      <c r="AG84" s="413">
        <v>0.17999999999999899</v>
      </c>
      <c r="AH84" s="428"/>
      <c r="AI84" s="414"/>
      <c r="AJ84" s="414"/>
      <c r="AK84" s="414"/>
      <c r="AL84" s="414"/>
      <c r="AM84" s="414"/>
      <c r="AN84" s="414"/>
      <c r="AO84" s="414"/>
      <c r="AP84" s="414"/>
      <c r="AQ84" s="414"/>
      <c r="AR84" s="414"/>
      <c r="AS84" s="414"/>
      <c r="AT84" s="414"/>
      <c r="AU84" s="414"/>
      <c r="AV84" s="414"/>
      <c r="AW84" s="414"/>
      <c r="AX84" s="414"/>
      <c r="AY84" s="414"/>
      <c r="AZ84" s="414"/>
      <c r="BA84" s="414"/>
      <c r="BB84" s="414"/>
      <c r="BC84" s="414"/>
      <c r="BD84" s="414"/>
      <c r="BE84" s="429"/>
      <c r="BK84" s="413">
        <v>0.17999999999999899</v>
      </c>
      <c r="BL84" s="437"/>
      <c r="BM84" s="438"/>
      <c r="BN84" s="438"/>
      <c r="BO84" s="438"/>
      <c r="BP84" s="438"/>
      <c r="BQ84" s="438"/>
      <c r="BR84" s="438"/>
      <c r="BS84" s="438"/>
      <c r="BT84" s="438"/>
      <c r="BU84" s="438"/>
      <c r="BV84" s="438"/>
      <c r="BW84" s="438"/>
      <c r="BX84" s="438"/>
      <c r="BY84" s="438"/>
      <c r="BZ84" s="438"/>
      <c r="CA84" s="438"/>
      <c r="CB84" s="438"/>
      <c r="CC84" s="438"/>
      <c r="CD84" s="438"/>
      <c r="CE84" s="438"/>
      <c r="CF84" s="438"/>
      <c r="CG84" s="438"/>
      <c r="CH84" s="438"/>
      <c r="CI84" s="439"/>
      <c r="CO84" s="413">
        <v>0.17999999999999899</v>
      </c>
      <c r="CP84" s="437"/>
      <c r="CQ84" s="438"/>
      <c r="CR84" s="438"/>
      <c r="CS84" s="438"/>
      <c r="CT84" s="438"/>
      <c r="CU84" s="438"/>
      <c r="CV84" s="438"/>
      <c r="CW84" s="438"/>
      <c r="CX84" s="438"/>
      <c r="CY84" s="438"/>
      <c r="CZ84" s="438"/>
      <c r="DA84" s="438"/>
      <c r="DB84" s="438"/>
      <c r="DC84" s="438"/>
      <c r="DD84" s="438"/>
      <c r="DE84" s="438"/>
      <c r="DF84" s="438"/>
      <c r="DG84" s="438"/>
      <c r="DH84" s="438"/>
      <c r="DI84" s="438"/>
      <c r="DJ84" s="438"/>
      <c r="DK84" s="438"/>
      <c r="DL84" s="438"/>
      <c r="DM84" s="439"/>
      <c r="DS84" s="413">
        <v>0.17999999999999899</v>
      </c>
      <c r="DT84" s="437"/>
      <c r="DU84" s="438"/>
      <c r="DV84" s="438"/>
      <c r="DW84" s="438"/>
      <c r="DX84" s="438"/>
      <c r="DY84" s="438"/>
      <c r="DZ84" s="438"/>
      <c r="EA84" s="438"/>
      <c r="EB84" s="438"/>
      <c r="EC84" s="438"/>
      <c r="ED84" s="438"/>
      <c r="EE84" s="438"/>
      <c r="EF84" s="438"/>
      <c r="EG84" s="438"/>
      <c r="EH84" s="438"/>
      <c r="EI84" s="438"/>
      <c r="EJ84" s="438"/>
      <c r="EK84" s="438"/>
      <c r="EL84" s="438"/>
      <c r="EM84" s="438"/>
      <c r="EN84" s="438"/>
      <c r="EO84" s="438"/>
      <c r="EP84" s="438"/>
      <c r="EQ84" s="439"/>
    </row>
    <row r="85" spans="2:147" x14ac:dyDescent="0.35">
      <c r="C85" s="413">
        <v>0.16999999999999901</v>
      </c>
      <c r="D85" s="420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21"/>
      <c r="AG85" s="413">
        <v>0.16999999999999901</v>
      </c>
      <c r="AH85" s="428"/>
      <c r="AI85" s="414"/>
      <c r="AJ85" s="414"/>
      <c r="AK85" s="414"/>
      <c r="AL85" s="414"/>
      <c r="AM85" s="414"/>
      <c r="AN85" s="414"/>
      <c r="AO85" s="414"/>
      <c r="AP85" s="414"/>
      <c r="AQ85" s="414"/>
      <c r="AR85" s="414"/>
      <c r="AS85" s="414"/>
      <c r="AT85" s="414"/>
      <c r="AU85" s="414"/>
      <c r="AV85" s="414"/>
      <c r="AW85" s="414"/>
      <c r="AX85" s="414"/>
      <c r="AY85" s="414"/>
      <c r="AZ85" s="414"/>
      <c r="BA85" s="414"/>
      <c r="BB85" s="414"/>
      <c r="BC85" s="414"/>
      <c r="BD85" s="414"/>
      <c r="BE85" s="429"/>
      <c r="BK85" s="413">
        <v>0.16999999999999901</v>
      </c>
      <c r="BL85" s="437"/>
      <c r="BM85" s="438"/>
      <c r="BN85" s="438"/>
      <c r="BO85" s="438"/>
      <c r="BP85" s="438"/>
      <c r="BQ85" s="438"/>
      <c r="BR85" s="438"/>
      <c r="BS85" s="438"/>
      <c r="BT85" s="438"/>
      <c r="BU85" s="438"/>
      <c r="BV85" s="438"/>
      <c r="BW85" s="438"/>
      <c r="BX85" s="438"/>
      <c r="BY85" s="438"/>
      <c r="BZ85" s="438"/>
      <c r="CA85" s="438"/>
      <c r="CB85" s="438"/>
      <c r="CC85" s="438"/>
      <c r="CD85" s="438"/>
      <c r="CE85" s="438"/>
      <c r="CF85" s="438"/>
      <c r="CG85" s="438"/>
      <c r="CH85" s="438"/>
      <c r="CI85" s="439"/>
      <c r="CO85" s="413">
        <v>0.16999999999999901</v>
      </c>
      <c r="CP85" s="437"/>
      <c r="CQ85" s="438"/>
      <c r="CR85" s="438"/>
      <c r="CS85" s="438"/>
      <c r="CT85" s="438"/>
      <c r="CU85" s="438"/>
      <c r="CV85" s="438"/>
      <c r="CW85" s="438"/>
      <c r="CX85" s="438"/>
      <c r="CY85" s="438"/>
      <c r="CZ85" s="438"/>
      <c r="DA85" s="438"/>
      <c r="DB85" s="438"/>
      <c r="DC85" s="438"/>
      <c r="DD85" s="438"/>
      <c r="DE85" s="438"/>
      <c r="DF85" s="438"/>
      <c r="DG85" s="438"/>
      <c r="DH85" s="438"/>
      <c r="DI85" s="438"/>
      <c r="DJ85" s="438"/>
      <c r="DK85" s="438"/>
      <c r="DL85" s="438"/>
      <c r="DM85" s="439"/>
      <c r="DS85" s="413">
        <v>0.16999999999999901</v>
      </c>
      <c r="DT85" s="437"/>
      <c r="DU85" s="438"/>
      <c r="DV85" s="438"/>
      <c r="DW85" s="438"/>
      <c r="DX85" s="438"/>
      <c r="DY85" s="438"/>
      <c r="DZ85" s="438"/>
      <c r="EA85" s="438"/>
      <c r="EB85" s="438"/>
      <c r="EC85" s="438"/>
      <c r="ED85" s="438"/>
      <c r="EE85" s="438"/>
      <c r="EF85" s="438"/>
      <c r="EG85" s="438"/>
      <c r="EH85" s="438"/>
      <c r="EI85" s="438"/>
      <c r="EJ85" s="438"/>
      <c r="EK85" s="438"/>
      <c r="EL85" s="438"/>
      <c r="EM85" s="438"/>
      <c r="EN85" s="438"/>
      <c r="EO85" s="438"/>
      <c r="EP85" s="438"/>
      <c r="EQ85" s="439"/>
    </row>
    <row r="86" spans="2:147" x14ac:dyDescent="0.35">
      <c r="C86" s="413">
        <v>0.159999999999999</v>
      </c>
      <c r="D86" s="420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21"/>
      <c r="AG86" s="413">
        <v>0.159999999999999</v>
      </c>
      <c r="AH86" s="428"/>
      <c r="AI86" s="414"/>
      <c r="AJ86" s="414"/>
      <c r="AK86" s="414"/>
      <c r="AL86" s="414"/>
      <c r="AM86" s="414"/>
      <c r="AN86" s="414"/>
      <c r="AO86" s="414"/>
      <c r="AP86" s="414"/>
      <c r="AQ86" s="414"/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B86" s="414"/>
      <c r="BC86" s="414"/>
      <c r="BD86" s="414"/>
      <c r="BE86" s="429"/>
      <c r="BK86" s="413">
        <v>0.159999999999999</v>
      </c>
      <c r="BL86" s="437"/>
      <c r="BM86" s="438"/>
      <c r="BN86" s="438"/>
      <c r="BO86" s="438"/>
      <c r="BP86" s="438"/>
      <c r="BQ86" s="438"/>
      <c r="BR86" s="438"/>
      <c r="BS86" s="438"/>
      <c r="BT86" s="438"/>
      <c r="BU86" s="438"/>
      <c r="BV86" s="438"/>
      <c r="BW86" s="438"/>
      <c r="BX86" s="438"/>
      <c r="BY86" s="438"/>
      <c r="BZ86" s="438"/>
      <c r="CA86" s="438"/>
      <c r="CB86" s="438"/>
      <c r="CC86" s="438"/>
      <c r="CD86" s="438"/>
      <c r="CE86" s="438"/>
      <c r="CF86" s="438"/>
      <c r="CG86" s="438"/>
      <c r="CH86" s="438"/>
      <c r="CI86" s="439"/>
      <c r="CO86" s="413">
        <v>0.159999999999999</v>
      </c>
      <c r="CP86" s="437"/>
      <c r="CQ86" s="438"/>
      <c r="CR86" s="438"/>
      <c r="CS86" s="438"/>
      <c r="CT86" s="438"/>
      <c r="CU86" s="438"/>
      <c r="CV86" s="438"/>
      <c r="CW86" s="438"/>
      <c r="CX86" s="438"/>
      <c r="CY86" s="438"/>
      <c r="CZ86" s="438"/>
      <c r="DA86" s="438"/>
      <c r="DB86" s="438"/>
      <c r="DC86" s="438"/>
      <c r="DD86" s="438"/>
      <c r="DE86" s="438"/>
      <c r="DF86" s="438"/>
      <c r="DG86" s="438"/>
      <c r="DH86" s="438"/>
      <c r="DI86" s="438"/>
      <c r="DJ86" s="438"/>
      <c r="DK86" s="438"/>
      <c r="DL86" s="438"/>
      <c r="DM86" s="439"/>
      <c r="DS86" s="413">
        <v>0.159999999999999</v>
      </c>
      <c r="DT86" s="437"/>
      <c r="DU86" s="438"/>
      <c r="DV86" s="438"/>
      <c r="DW86" s="438"/>
      <c r="DX86" s="438"/>
      <c r="DY86" s="438"/>
      <c r="DZ86" s="438"/>
      <c r="EA86" s="438"/>
      <c r="EB86" s="438"/>
      <c r="EC86" s="438"/>
      <c r="ED86" s="438"/>
      <c r="EE86" s="438"/>
      <c r="EF86" s="438"/>
      <c r="EG86" s="438"/>
      <c r="EH86" s="438"/>
      <c r="EI86" s="438"/>
      <c r="EJ86" s="438"/>
      <c r="EK86" s="438"/>
      <c r="EL86" s="438"/>
      <c r="EM86" s="438"/>
      <c r="EN86" s="438"/>
      <c r="EO86" s="438"/>
      <c r="EP86" s="438"/>
      <c r="EQ86" s="439"/>
    </row>
    <row r="87" spans="2:147" x14ac:dyDescent="0.35">
      <c r="C87" s="413">
        <v>0.149999999999999</v>
      </c>
      <c r="D87" s="420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21"/>
      <c r="AG87" s="413">
        <v>0.149999999999999</v>
      </c>
      <c r="AH87" s="428"/>
      <c r="AI87" s="414"/>
      <c r="AJ87" s="414"/>
      <c r="AK87" s="414"/>
      <c r="AL87" s="414"/>
      <c r="AM87" s="414"/>
      <c r="AN87" s="414"/>
      <c r="AO87" s="414"/>
      <c r="AP87" s="414"/>
      <c r="AQ87" s="414"/>
      <c r="AR87" s="414"/>
      <c r="AS87" s="414"/>
      <c r="AT87" s="414"/>
      <c r="AU87" s="414"/>
      <c r="AV87" s="414"/>
      <c r="AW87" s="414"/>
      <c r="AX87" s="414"/>
      <c r="AY87" s="414"/>
      <c r="AZ87" s="414"/>
      <c r="BA87" s="414"/>
      <c r="BB87" s="414"/>
      <c r="BC87" s="414"/>
      <c r="BD87" s="414"/>
      <c r="BE87" s="429"/>
      <c r="BK87" s="413">
        <v>0.149999999999999</v>
      </c>
      <c r="BL87" s="437"/>
      <c r="BM87" s="438"/>
      <c r="BN87" s="438"/>
      <c r="BO87" s="438"/>
      <c r="BP87" s="438"/>
      <c r="BQ87" s="438"/>
      <c r="BR87" s="438"/>
      <c r="BS87" s="438"/>
      <c r="BT87" s="438"/>
      <c r="BU87" s="438"/>
      <c r="BV87" s="438"/>
      <c r="BW87" s="438"/>
      <c r="BX87" s="438"/>
      <c r="BY87" s="438"/>
      <c r="BZ87" s="438"/>
      <c r="CA87" s="438"/>
      <c r="CB87" s="438"/>
      <c r="CC87" s="438"/>
      <c r="CD87" s="438"/>
      <c r="CE87" s="438"/>
      <c r="CF87" s="438"/>
      <c r="CG87" s="438"/>
      <c r="CH87" s="438"/>
      <c r="CI87" s="439"/>
      <c r="CO87" s="413">
        <v>0.149999999999999</v>
      </c>
      <c r="CP87" s="437"/>
      <c r="CQ87" s="438"/>
      <c r="CR87" s="438"/>
      <c r="CS87" s="438"/>
      <c r="CT87" s="438"/>
      <c r="CU87" s="438"/>
      <c r="CV87" s="438"/>
      <c r="CW87" s="438"/>
      <c r="CX87" s="438"/>
      <c r="CY87" s="438"/>
      <c r="CZ87" s="438"/>
      <c r="DA87" s="438"/>
      <c r="DB87" s="438"/>
      <c r="DC87" s="438"/>
      <c r="DD87" s="438"/>
      <c r="DE87" s="438"/>
      <c r="DF87" s="438"/>
      <c r="DG87" s="438"/>
      <c r="DH87" s="438"/>
      <c r="DI87" s="438"/>
      <c r="DJ87" s="438"/>
      <c r="DK87" s="438"/>
      <c r="DL87" s="438"/>
      <c r="DM87" s="439"/>
      <c r="DS87" s="413">
        <v>0.149999999999999</v>
      </c>
      <c r="DT87" s="437"/>
      <c r="DU87" s="438"/>
      <c r="DV87" s="438"/>
      <c r="DW87" s="438"/>
      <c r="DX87" s="438"/>
      <c r="DY87" s="438"/>
      <c r="DZ87" s="438"/>
      <c r="EA87" s="438"/>
      <c r="EB87" s="438"/>
      <c r="EC87" s="438"/>
      <c r="ED87" s="438"/>
      <c r="EE87" s="438"/>
      <c r="EF87" s="438"/>
      <c r="EG87" s="438"/>
      <c r="EH87" s="438"/>
      <c r="EI87" s="438"/>
      <c r="EJ87" s="438"/>
      <c r="EK87" s="438"/>
      <c r="EL87" s="438"/>
      <c r="EM87" s="438"/>
      <c r="EN87" s="438"/>
      <c r="EO87" s="438"/>
      <c r="EP87" s="438"/>
      <c r="EQ87" s="439"/>
    </row>
    <row r="88" spans="2:147" x14ac:dyDescent="0.35">
      <c r="C88" s="413">
        <v>0.13999999999999899</v>
      </c>
      <c r="D88" s="420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21"/>
      <c r="AG88" s="413">
        <v>0.13999999999999899</v>
      </c>
      <c r="AH88" s="428"/>
      <c r="AI88" s="414"/>
      <c r="AJ88" s="414"/>
      <c r="AK88" s="414"/>
      <c r="AL88" s="414"/>
      <c r="AM88" s="414"/>
      <c r="AN88" s="414"/>
      <c r="AO88" s="414"/>
      <c r="AP88" s="414"/>
      <c r="AQ88" s="414"/>
      <c r="AR88" s="414"/>
      <c r="AS88" s="414"/>
      <c r="AT88" s="414"/>
      <c r="AU88" s="414"/>
      <c r="AV88" s="414"/>
      <c r="AW88" s="414"/>
      <c r="AX88" s="414"/>
      <c r="AY88" s="414"/>
      <c r="AZ88" s="414"/>
      <c r="BA88" s="414"/>
      <c r="BB88" s="414"/>
      <c r="BC88" s="414"/>
      <c r="BD88" s="414"/>
      <c r="BE88" s="429"/>
      <c r="BK88" s="413">
        <v>0.13999999999999899</v>
      </c>
      <c r="BL88" s="437"/>
      <c r="BM88" s="438"/>
      <c r="BN88" s="438"/>
      <c r="BO88" s="438"/>
      <c r="BP88" s="438"/>
      <c r="BQ88" s="438"/>
      <c r="BR88" s="438"/>
      <c r="BS88" s="438"/>
      <c r="BT88" s="438"/>
      <c r="BU88" s="438"/>
      <c r="BV88" s="438"/>
      <c r="BW88" s="438"/>
      <c r="BX88" s="438"/>
      <c r="BY88" s="438"/>
      <c r="BZ88" s="438"/>
      <c r="CA88" s="438"/>
      <c r="CB88" s="438"/>
      <c r="CC88" s="438"/>
      <c r="CD88" s="438"/>
      <c r="CE88" s="438"/>
      <c r="CF88" s="438"/>
      <c r="CG88" s="438"/>
      <c r="CH88" s="438"/>
      <c r="CI88" s="439"/>
      <c r="CO88" s="413">
        <v>0.13999999999999899</v>
      </c>
      <c r="CP88" s="437"/>
      <c r="CQ88" s="438"/>
      <c r="CR88" s="438"/>
      <c r="CS88" s="438"/>
      <c r="CT88" s="438"/>
      <c r="CU88" s="438"/>
      <c r="CV88" s="438"/>
      <c r="CW88" s="438"/>
      <c r="CX88" s="438"/>
      <c r="CY88" s="438"/>
      <c r="CZ88" s="438"/>
      <c r="DA88" s="438"/>
      <c r="DB88" s="438"/>
      <c r="DC88" s="438"/>
      <c r="DD88" s="438"/>
      <c r="DE88" s="438"/>
      <c r="DF88" s="438"/>
      <c r="DG88" s="438"/>
      <c r="DH88" s="438"/>
      <c r="DI88" s="438"/>
      <c r="DJ88" s="438"/>
      <c r="DK88" s="438"/>
      <c r="DL88" s="438"/>
      <c r="DM88" s="439"/>
      <c r="DS88" s="413">
        <v>0.13999999999999899</v>
      </c>
      <c r="DT88" s="437"/>
      <c r="DU88" s="438"/>
      <c r="DV88" s="438"/>
      <c r="DW88" s="438"/>
      <c r="DX88" s="438"/>
      <c r="DY88" s="438"/>
      <c r="DZ88" s="438"/>
      <c r="EA88" s="438"/>
      <c r="EB88" s="438"/>
      <c r="EC88" s="438"/>
      <c r="ED88" s="438"/>
      <c r="EE88" s="438"/>
      <c r="EF88" s="438"/>
      <c r="EG88" s="438"/>
      <c r="EH88" s="438"/>
      <c r="EI88" s="438"/>
      <c r="EJ88" s="438"/>
      <c r="EK88" s="438"/>
      <c r="EL88" s="438"/>
      <c r="EM88" s="438"/>
      <c r="EN88" s="438"/>
      <c r="EO88" s="438"/>
      <c r="EP88" s="438"/>
      <c r="EQ88" s="439"/>
    </row>
    <row r="89" spans="2:147" x14ac:dyDescent="0.35">
      <c r="C89" s="413">
        <v>0.12999999999999901</v>
      </c>
      <c r="D89" s="420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21"/>
      <c r="AG89" s="413">
        <v>0.12999999999999901</v>
      </c>
      <c r="AH89" s="428"/>
      <c r="AI89" s="414"/>
      <c r="AJ89" s="414"/>
      <c r="AK89" s="414"/>
      <c r="AL89" s="414"/>
      <c r="AM89" s="414"/>
      <c r="AN89" s="414"/>
      <c r="AO89" s="414"/>
      <c r="AP89" s="414"/>
      <c r="AQ89" s="414"/>
      <c r="AR89" s="414"/>
      <c r="AS89" s="414"/>
      <c r="AT89" s="414"/>
      <c r="AU89" s="414"/>
      <c r="AV89" s="414"/>
      <c r="AW89" s="414"/>
      <c r="AX89" s="414"/>
      <c r="AY89" s="414"/>
      <c r="AZ89" s="414"/>
      <c r="BA89" s="414"/>
      <c r="BB89" s="414"/>
      <c r="BC89" s="414"/>
      <c r="BD89" s="414"/>
      <c r="BE89" s="429"/>
      <c r="BK89" s="413">
        <v>0.12999999999999901</v>
      </c>
      <c r="BL89" s="437"/>
      <c r="BM89" s="438"/>
      <c r="BN89" s="438"/>
      <c r="BO89" s="438"/>
      <c r="BP89" s="438"/>
      <c r="BQ89" s="438"/>
      <c r="BR89" s="438"/>
      <c r="BS89" s="438"/>
      <c r="BT89" s="438"/>
      <c r="BU89" s="438"/>
      <c r="BV89" s="438"/>
      <c r="BW89" s="438"/>
      <c r="BX89" s="438"/>
      <c r="BY89" s="438"/>
      <c r="BZ89" s="438"/>
      <c r="CA89" s="438"/>
      <c r="CB89" s="438"/>
      <c r="CC89" s="438"/>
      <c r="CD89" s="438"/>
      <c r="CE89" s="438"/>
      <c r="CF89" s="438"/>
      <c r="CG89" s="438"/>
      <c r="CH89" s="438"/>
      <c r="CI89" s="439"/>
      <c r="CO89" s="413">
        <v>0.12999999999999901</v>
      </c>
      <c r="CP89" s="437"/>
      <c r="CQ89" s="438"/>
      <c r="CR89" s="438"/>
      <c r="CS89" s="438"/>
      <c r="CT89" s="438"/>
      <c r="CU89" s="438"/>
      <c r="CV89" s="438"/>
      <c r="CW89" s="438"/>
      <c r="CX89" s="438"/>
      <c r="CY89" s="438"/>
      <c r="CZ89" s="438"/>
      <c r="DA89" s="438"/>
      <c r="DB89" s="438"/>
      <c r="DC89" s="438"/>
      <c r="DD89" s="438"/>
      <c r="DE89" s="438"/>
      <c r="DF89" s="438"/>
      <c r="DG89" s="438"/>
      <c r="DH89" s="438"/>
      <c r="DI89" s="438"/>
      <c r="DJ89" s="438"/>
      <c r="DK89" s="438"/>
      <c r="DL89" s="438"/>
      <c r="DM89" s="439"/>
      <c r="DS89" s="413">
        <v>0.12999999999999901</v>
      </c>
      <c r="DT89" s="437"/>
      <c r="DU89" s="438"/>
      <c r="DV89" s="438"/>
      <c r="DW89" s="438"/>
      <c r="DX89" s="438"/>
      <c r="DY89" s="438"/>
      <c r="DZ89" s="438"/>
      <c r="EA89" s="438"/>
      <c r="EB89" s="438"/>
      <c r="EC89" s="438"/>
      <c r="ED89" s="438"/>
      <c r="EE89" s="438"/>
      <c r="EF89" s="438"/>
      <c r="EG89" s="438"/>
      <c r="EH89" s="438"/>
      <c r="EI89" s="438"/>
      <c r="EJ89" s="438"/>
      <c r="EK89" s="438"/>
      <c r="EL89" s="438"/>
      <c r="EM89" s="438"/>
      <c r="EN89" s="438"/>
      <c r="EO89" s="438"/>
      <c r="EP89" s="438"/>
      <c r="EQ89" s="439"/>
    </row>
    <row r="90" spans="2:147" x14ac:dyDescent="0.35">
      <c r="C90" s="413">
        <v>0.119999999999999</v>
      </c>
      <c r="D90" s="420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21"/>
      <c r="AG90" s="413">
        <v>0.119999999999999</v>
      </c>
      <c r="AH90" s="428"/>
      <c r="AI90" s="414"/>
      <c r="AJ90" s="414"/>
      <c r="AK90" s="414"/>
      <c r="AL90" s="414"/>
      <c r="AM90" s="414"/>
      <c r="AN90" s="414"/>
      <c r="AO90" s="414"/>
      <c r="AP90" s="414"/>
      <c r="AQ90" s="414"/>
      <c r="AR90" s="414"/>
      <c r="AS90" s="414"/>
      <c r="AT90" s="414"/>
      <c r="AU90" s="414"/>
      <c r="AV90" s="414"/>
      <c r="AW90" s="414"/>
      <c r="AX90" s="414"/>
      <c r="AY90" s="414"/>
      <c r="AZ90" s="414"/>
      <c r="BA90" s="414"/>
      <c r="BB90" s="414"/>
      <c r="BC90" s="414"/>
      <c r="BD90" s="414"/>
      <c r="BE90" s="429"/>
      <c r="BK90" s="413">
        <v>0.119999999999999</v>
      </c>
      <c r="BL90" s="437"/>
      <c r="BM90" s="438"/>
      <c r="BN90" s="438"/>
      <c r="BO90" s="438"/>
      <c r="BP90" s="438"/>
      <c r="BQ90" s="438"/>
      <c r="BR90" s="438"/>
      <c r="BS90" s="438"/>
      <c r="BT90" s="438"/>
      <c r="BU90" s="438"/>
      <c r="BV90" s="438"/>
      <c r="BW90" s="438"/>
      <c r="BX90" s="438"/>
      <c r="BY90" s="438"/>
      <c r="BZ90" s="438"/>
      <c r="CA90" s="438"/>
      <c r="CB90" s="438"/>
      <c r="CC90" s="438"/>
      <c r="CD90" s="438"/>
      <c r="CE90" s="438"/>
      <c r="CF90" s="438"/>
      <c r="CG90" s="438"/>
      <c r="CH90" s="438"/>
      <c r="CI90" s="439"/>
      <c r="CO90" s="413">
        <v>0.119999999999999</v>
      </c>
      <c r="CP90" s="437"/>
      <c r="CQ90" s="438"/>
      <c r="CR90" s="438"/>
      <c r="CS90" s="438"/>
      <c r="CT90" s="438"/>
      <c r="CU90" s="438"/>
      <c r="CV90" s="438"/>
      <c r="CW90" s="438"/>
      <c r="CX90" s="438"/>
      <c r="CY90" s="438"/>
      <c r="CZ90" s="438"/>
      <c r="DA90" s="438"/>
      <c r="DB90" s="438"/>
      <c r="DC90" s="438"/>
      <c r="DD90" s="438"/>
      <c r="DE90" s="438"/>
      <c r="DF90" s="438"/>
      <c r="DG90" s="438"/>
      <c r="DH90" s="438"/>
      <c r="DI90" s="438"/>
      <c r="DJ90" s="438"/>
      <c r="DK90" s="438"/>
      <c r="DL90" s="438"/>
      <c r="DM90" s="439"/>
      <c r="DS90" s="413">
        <v>0.119999999999999</v>
      </c>
      <c r="DT90" s="437"/>
      <c r="DU90" s="438"/>
      <c r="DV90" s="438"/>
      <c r="DW90" s="438"/>
      <c r="DX90" s="438"/>
      <c r="DY90" s="438"/>
      <c r="DZ90" s="438"/>
      <c r="EA90" s="438"/>
      <c r="EB90" s="438"/>
      <c r="EC90" s="438"/>
      <c r="ED90" s="438"/>
      <c r="EE90" s="438"/>
      <c r="EF90" s="438"/>
      <c r="EG90" s="438"/>
      <c r="EH90" s="438"/>
      <c r="EI90" s="438"/>
      <c r="EJ90" s="438"/>
      <c r="EK90" s="438"/>
      <c r="EL90" s="438"/>
      <c r="EM90" s="438"/>
      <c r="EN90" s="438"/>
      <c r="EO90" s="438"/>
      <c r="EP90" s="438"/>
      <c r="EQ90" s="439"/>
    </row>
    <row r="91" spans="2:147" x14ac:dyDescent="0.35">
      <c r="C91" s="413">
        <v>0.109999999999999</v>
      </c>
      <c r="D91" s="420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21"/>
      <c r="AG91" s="413">
        <v>0.109999999999999</v>
      </c>
      <c r="AH91" s="428"/>
      <c r="AI91" s="414"/>
      <c r="AJ91" s="414"/>
      <c r="AK91" s="414"/>
      <c r="AL91" s="414"/>
      <c r="AM91" s="414"/>
      <c r="AN91" s="414"/>
      <c r="AO91" s="414"/>
      <c r="AP91" s="414"/>
      <c r="AQ91" s="414"/>
      <c r="AR91" s="414"/>
      <c r="AS91" s="414"/>
      <c r="AT91" s="414"/>
      <c r="AU91" s="414"/>
      <c r="AV91" s="414"/>
      <c r="AW91" s="414"/>
      <c r="AX91" s="414"/>
      <c r="AY91" s="414"/>
      <c r="AZ91" s="414"/>
      <c r="BA91" s="414"/>
      <c r="BB91" s="414"/>
      <c r="BC91" s="414"/>
      <c r="BD91" s="414"/>
      <c r="BE91" s="429"/>
      <c r="BK91" s="433">
        <v>0.109999999999999</v>
      </c>
      <c r="BL91" s="437"/>
      <c r="BM91" s="438"/>
      <c r="BN91" s="438"/>
      <c r="BO91" s="438"/>
      <c r="BP91" s="438"/>
      <c r="BQ91" s="438"/>
      <c r="BR91" s="438"/>
      <c r="BS91" s="438"/>
      <c r="BT91" s="438"/>
      <c r="BU91" s="438"/>
      <c r="BV91" s="438"/>
      <c r="BW91" s="438"/>
      <c r="BX91" s="438"/>
      <c r="BY91" s="438"/>
      <c r="BZ91" s="438"/>
      <c r="CA91" s="438"/>
      <c r="CB91" s="438"/>
      <c r="CC91" s="438"/>
      <c r="CD91" s="438"/>
      <c r="CE91" s="438"/>
      <c r="CF91" s="438"/>
      <c r="CG91" s="438"/>
      <c r="CH91" s="438"/>
      <c r="CI91" s="439"/>
      <c r="CO91" s="413">
        <v>0.109999999999999</v>
      </c>
      <c r="CP91" s="437"/>
      <c r="CQ91" s="438"/>
      <c r="CR91" s="438"/>
      <c r="CS91" s="438"/>
      <c r="CT91" s="438"/>
      <c r="CU91" s="438"/>
      <c r="CV91" s="438"/>
      <c r="CW91" s="438"/>
      <c r="CX91" s="438"/>
      <c r="CY91" s="438"/>
      <c r="CZ91" s="438"/>
      <c r="DA91" s="438"/>
      <c r="DB91" s="438"/>
      <c r="DC91" s="438"/>
      <c r="DD91" s="438"/>
      <c r="DE91" s="438"/>
      <c r="DF91" s="438"/>
      <c r="DG91" s="438"/>
      <c r="DH91" s="438"/>
      <c r="DI91" s="438"/>
      <c r="DJ91" s="438"/>
      <c r="DK91" s="438"/>
      <c r="DL91" s="438"/>
      <c r="DM91" s="439"/>
      <c r="DS91" s="433">
        <v>0.109999999999999</v>
      </c>
      <c r="DT91" s="437"/>
      <c r="DU91" s="438"/>
      <c r="DV91" s="438"/>
      <c r="DW91" s="438"/>
      <c r="DX91" s="438"/>
      <c r="DY91" s="438"/>
      <c r="DZ91" s="438"/>
      <c r="EA91" s="438"/>
      <c r="EB91" s="438"/>
      <c r="EC91" s="438"/>
      <c r="ED91" s="438"/>
      <c r="EE91" s="438"/>
      <c r="EF91" s="438"/>
      <c r="EG91" s="438"/>
      <c r="EH91" s="438"/>
      <c r="EI91" s="438"/>
      <c r="EJ91" s="438"/>
      <c r="EK91" s="438"/>
      <c r="EL91" s="438"/>
      <c r="EM91" s="438"/>
      <c r="EN91" s="438"/>
      <c r="EO91" s="438"/>
      <c r="EP91" s="438"/>
      <c r="EQ91" s="439"/>
    </row>
    <row r="92" spans="2:147" x14ac:dyDescent="0.35">
      <c r="C92" s="413">
        <v>9.9999999999999006E-2</v>
      </c>
      <c r="D92" s="420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21"/>
      <c r="AG92" s="413">
        <v>9.9999999999999006E-2</v>
      </c>
      <c r="AH92" s="428"/>
      <c r="AI92" s="414"/>
      <c r="AJ92" s="414"/>
      <c r="AK92" s="414"/>
      <c r="AL92" s="414"/>
      <c r="AM92" s="414"/>
      <c r="AN92" s="414"/>
      <c r="AO92" s="414"/>
      <c r="AP92" s="414"/>
      <c r="AQ92" s="414"/>
      <c r="AR92" s="414"/>
      <c r="AS92" s="414"/>
      <c r="AT92" s="414"/>
      <c r="AU92" s="414"/>
      <c r="AV92" s="414"/>
      <c r="AW92" s="414"/>
      <c r="AX92" s="414"/>
      <c r="AY92" s="414"/>
      <c r="AZ92" s="414"/>
      <c r="BA92" s="414"/>
      <c r="BB92" s="414"/>
      <c r="BC92" s="414"/>
      <c r="BD92" s="414"/>
      <c r="BE92" s="429"/>
      <c r="BK92" s="413">
        <v>9.9999999999999006E-2</v>
      </c>
      <c r="BL92" s="437"/>
      <c r="BM92" s="438"/>
      <c r="BN92" s="438"/>
      <c r="BO92" s="438"/>
      <c r="BP92" s="438"/>
      <c r="BQ92" s="438"/>
      <c r="BR92" s="438"/>
      <c r="BS92" s="438"/>
      <c r="BT92" s="438"/>
      <c r="BU92" s="438"/>
      <c r="BV92" s="438"/>
      <c r="BW92" s="438"/>
      <c r="BX92" s="438"/>
      <c r="BY92" s="438"/>
      <c r="BZ92" s="438"/>
      <c r="CA92" s="438"/>
      <c r="CB92" s="438"/>
      <c r="CC92" s="438"/>
      <c r="CD92" s="438"/>
      <c r="CE92" s="438"/>
      <c r="CF92" s="438"/>
      <c r="CG92" s="438"/>
      <c r="CH92" s="438"/>
      <c r="CI92" s="439"/>
      <c r="CO92" s="413">
        <v>9.9999999999999006E-2</v>
      </c>
      <c r="CP92" s="437"/>
      <c r="CQ92" s="438"/>
      <c r="CR92" s="438"/>
      <c r="CS92" s="438"/>
      <c r="CT92" s="438"/>
      <c r="CU92" s="438"/>
      <c r="CV92" s="438"/>
      <c r="CW92" s="438"/>
      <c r="CX92" s="438"/>
      <c r="CY92" s="438"/>
      <c r="CZ92" s="438"/>
      <c r="DA92" s="438"/>
      <c r="DB92" s="438"/>
      <c r="DC92" s="438"/>
      <c r="DD92" s="438"/>
      <c r="DE92" s="438"/>
      <c r="DF92" s="438"/>
      <c r="DG92" s="438"/>
      <c r="DH92" s="438"/>
      <c r="DI92" s="438"/>
      <c r="DJ92" s="438"/>
      <c r="DK92" s="438"/>
      <c r="DL92" s="438"/>
      <c r="DM92" s="439"/>
      <c r="DS92" s="413">
        <v>9.9999999999999006E-2</v>
      </c>
      <c r="DT92" s="437"/>
      <c r="DU92" s="438"/>
      <c r="DV92" s="438"/>
      <c r="DW92" s="438"/>
      <c r="DX92" s="438"/>
      <c r="DY92" s="438"/>
      <c r="DZ92" s="438"/>
      <c r="EA92" s="438"/>
      <c r="EB92" s="438"/>
      <c r="EC92" s="438"/>
      <c r="ED92" s="438"/>
      <c r="EE92" s="438"/>
      <c r="EF92" s="438"/>
      <c r="EG92" s="438"/>
      <c r="EH92" s="438"/>
      <c r="EI92" s="438"/>
      <c r="EJ92" s="438"/>
      <c r="EK92" s="438"/>
      <c r="EL92" s="438"/>
      <c r="EM92" s="438"/>
      <c r="EN92" s="438"/>
      <c r="EO92" s="438"/>
      <c r="EP92" s="438"/>
      <c r="EQ92" s="439"/>
    </row>
    <row r="93" spans="2:147" x14ac:dyDescent="0.35">
      <c r="C93" s="413">
        <v>8.9999999999998997E-2</v>
      </c>
      <c r="D93" s="420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21"/>
      <c r="AG93" s="413">
        <v>8.9999999999998997E-2</v>
      </c>
      <c r="AH93" s="428"/>
      <c r="AI93" s="414"/>
      <c r="AJ93" s="414"/>
      <c r="AK93" s="414"/>
      <c r="AL93" s="414"/>
      <c r="AM93" s="414"/>
      <c r="AN93" s="414"/>
      <c r="AO93" s="414"/>
      <c r="AP93" s="414"/>
      <c r="AQ93" s="414"/>
      <c r="AR93" s="414"/>
      <c r="AS93" s="414"/>
      <c r="AT93" s="414"/>
      <c r="AU93" s="414"/>
      <c r="AV93" s="414"/>
      <c r="AW93" s="414"/>
      <c r="AX93" s="414"/>
      <c r="AY93" s="414"/>
      <c r="AZ93" s="414"/>
      <c r="BA93" s="414"/>
      <c r="BB93" s="414"/>
      <c r="BC93" s="414"/>
      <c r="BD93" s="414"/>
      <c r="BE93" s="429"/>
      <c r="BK93" s="413">
        <v>8.9999999999998997E-2</v>
      </c>
      <c r="BL93" s="437"/>
      <c r="BM93" s="438"/>
      <c r="BN93" s="438"/>
      <c r="BO93" s="438"/>
      <c r="BP93" s="438"/>
      <c r="BQ93" s="438"/>
      <c r="BR93" s="438"/>
      <c r="BS93" s="438"/>
      <c r="BT93" s="438"/>
      <c r="BU93" s="438"/>
      <c r="BV93" s="438"/>
      <c r="BW93" s="438"/>
      <c r="BX93" s="438"/>
      <c r="BY93" s="438"/>
      <c r="BZ93" s="438"/>
      <c r="CA93" s="438"/>
      <c r="CB93" s="438"/>
      <c r="CC93" s="438"/>
      <c r="CD93" s="438"/>
      <c r="CE93" s="438"/>
      <c r="CF93" s="438"/>
      <c r="CG93" s="438"/>
      <c r="CH93" s="438"/>
      <c r="CI93" s="439"/>
      <c r="CO93" s="413">
        <v>8.9999999999998997E-2</v>
      </c>
      <c r="CP93" s="437"/>
      <c r="CQ93" s="438"/>
      <c r="CR93" s="438"/>
      <c r="CS93" s="438"/>
      <c r="CT93" s="438"/>
      <c r="CU93" s="438"/>
      <c r="CV93" s="438"/>
      <c r="CW93" s="438"/>
      <c r="CX93" s="438"/>
      <c r="CY93" s="438"/>
      <c r="CZ93" s="438"/>
      <c r="DA93" s="438"/>
      <c r="DB93" s="438"/>
      <c r="DC93" s="438"/>
      <c r="DD93" s="438"/>
      <c r="DE93" s="438"/>
      <c r="DF93" s="438"/>
      <c r="DG93" s="438"/>
      <c r="DH93" s="438"/>
      <c r="DI93" s="438"/>
      <c r="DJ93" s="438"/>
      <c r="DK93" s="438"/>
      <c r="DL93" s="438"/>
      <c r="DM93" s="439"/>
      <c r="DS93" s="413">
        <v>8.9999999999998997E-2</v>
      </c>
      <c r="DT93" s="437"/>
      <c r="DU93" s="438"/>
      <c r="DV93" s="438"/>
      <c r="DW93" s="438"/>
      <c r="DX93" s="438"/>
      <c r="DY93" s="438"/>
      <c r="DZ93" s="438"/>
      <c r="EA93" s="438"/>
      <c r="EB93" s="438"/>
      <c r="EC93" s="438"/>
      <c r="ED93" s="438"/>
      <c r="EE93" s="438"/>
      <c r="EF93" s="438"/>
      <c r="EG93" s="438"/>
      <c r="EH93" s="438"/>
      <c r="EI93" s="438"/>
      <c r="EJ93" s="438"/>
      <c r="EK93" s="438"/>
      <c r="EL93" s="438"/>
      <c r="EM93" s="438"/>
      <c r="EN93" s="438"/>
      <c r="EO93" s="438"/>
      <c r="EP93" s="438"/>
      <c r="EQ93" s="439"/>
    </row>
    <row r="94" spans="2:147" x14ac:dyDescent="0.35">
      <c r="B94" s="767" t="s">
        <v>123</v>
      </c>
      <c r="C94" s="413">
        <v>7.9999999999999002E-2</v>
      </c>
      <c r="D94" s="420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21"/>
      <c r="AF94" s="767" t="s">
        <v>123</v>
      </c>
      <c r="AG94" s="413">
        <v>7.9999999999999002E-2</v>
      </c>
      <c r="AH94" s="428"/>
      <c r="AI94" s="414"/>
      <c r="AJ94" s="414"/>
      <c r="AK94" s="414"/>
      <c r="AL94" s="414"/>
      <c r="AM94" s="414"/>
      <c r="AN94" s="414"/>
      <c r="AO94" s="414"/>
      <c r="AP94" s="414"/>
      <c r="AQ94" s="414"/>
      <c r="AR94" s="414"/>
      <c r="AS94" s="414"/>
      <c r="AT94" s="414"/>
      <c r="AU94" s="414"/>
      <c r="AV94" s="414"/>
      <c r="AW94" s="414"/>
      <c r="AX94" s="414"/>
      <c r="AY94" s="414"/>
      <c r="AZ94" s="414"/>
      <c r="BA94" s="414"/>
      <c r="BB94" s="414"/>
      <c r="BC94" s="414"/>
      <c r="BD94" s="414"/>
      <c r="BE94" s="429"/>
      <c r="BJ94" s="767" t="s">
        <v>123</v>
      </c>
      <c r="BK94" s="413">
        <v>7.9999999999999002E-2</v>
      </c>
      <c r="BL94" s="437"/>
      <c r="BM94" s="438"/>
      <c r="BN94" s="438"/>
      <c r="BO94" s="438"/>
      <c r="BP94" s="438"/>
      <c r="BQ94" s="438"/>
      <c r="BR94" s="438"/>
      <c r="BS94" s="438"/>
      <c r="BT94" s="438"/>
      <c r="BU94" s="438"/>
      <c r="BV94" s="438"/>
      <c r="BW94" s="438"/>
      <c r="BX94" s="438"/>
      <c r="BY94" s="438"/>
      <c r="BZ94" s="438"/>
      <c r="CA94" s="438"/>
      <c r="CB94" s="438"/>
      <c r="CC94" s="438"/>
      <c r="CD94" s="438"/>
      <c r="CE94" s="438"/>
      <c r="CF94" s="438"/>
      <c r="CG94" s="438"/>
      <c r="CH94" s="438"/>
      <c r="CI94" s="439"/>
      <c r="CN94" s="767" t="s">
        <v>123</v>
      </c>
      <c r="CO94" s="413">
        <v>7.9999999999999002E-2</v>
      </c>
      <c r="CP94" s="437"/>
      <c r="CQ94" s="438"/>
      <c r="CR94" s="438"/>
      <c r="CS94" s="438"/>
      <c r="CT94" s="438"/>
      <c r="CU94" s="438"/>
      <c r="CV94" s="438"/>
      <c r="CW94" s="438"/>
      <c r="CX94" s="438"/>
      <c r="CY94" s="438"/>
      <c r="CZ94" s="438"/>
      <c r="DA94" s="438"/>
      <c r="DB94" s="438"/>
      <c r="DC94" s="438"/>
      <c r="DD94" s="438"/>
      <c r="DE94" s="438"/>
      <c r="DF94" s="438"/>
      <c r="DG94" s="438"/>
      <c r="DH94" s="438"/>
      <c r="DI94" s="438"/>
      <c r="DJ94" s="438"/>
      <c r="DK94" s="438"/>
      <c r="DL94" s="438"/>
      <c r="DM94" s="439"/>
      <c r="DR94" s="767" t="s">
        <v>123</v>
      </c>
      <c r="DS94" s="413">
        <v>7.9999999999999002E-2</v>
      </c>
      <c r="DT94" s="437"/>
      <c r="DU94" s="438"/>
      <c r="DV94" s="438"/>
      <c r="DW94" s="438"/>
      <c r="DX94" s="438"/>
      <c r="DY94" s="438"/>
      <c r="DZ94" s="438"/>
      <c r="EA94" s="438"/>
      <c r="EB94" s="438"/>
      <c r="EC94" s="438"/>
      <c r="ED94" s="438"/>
      <c r="EE94" s="438"/>
      <c r="EF94" s="438"/>
      <c r="EG94" s="438"/>
      <c r="EH94" s="438"/>
      <c r="EI94" s="438"/>
      <c r="EJ94" s="438"/>
      <c r="EK94" s="438"/>
      <c r="EL94" s="438"/>
      <c r="EM94" s="438"/>
      <c r="EN94" s="438"/>
      <c r="EO94" s="438"/>
      <c r="EP94" s="438"/>
      <c r="EQ94" s="439"/>
    </row>
    <row r="95" spans="2:147" x14ac:dyDescent="0.35">
      <c r="B95" s="767"/>
      <c r="C95" s="413">
        <v>6.9999999999998994E-2</v>
      </c>
      <c r="D95" s="420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21"/>
      <c r="AF95" s="767"/>
      <c r="AG95" s="413">
        <v>6.9999999999998994E-2</v>
      </c>
      <c r="AH95" s="428"/>
      <c r="AI95" s="414"/>
      <c r="AJ95" s="414"/>
      <c r="AK95" s="414"/>
      <c r="AL95" s="414"/>
      <c r="AM95" s="414"/>
      <c r="AN95" s="414"/>
      <c r="AO95" s="414"/>
      <c r="AP95" s="414"/>
      <c r="AQ95" s="414"/>
      <c r="AR95" s="414"/>
      <c r="AS95" s="414"/>
      <c r="AT95" s="414"/>
      <c r="AU95" s="414"/>
      <c r="AV95" s="414"/>
      <c r="AW95" s="414"/>
      <c r="AX95" s="414"/>
      <c r="AY95" s="414"/>
      <c r="AZ95" s="414"/>
      <c r="BA95" s="414"/>
      <c r="BB95" s="414"/>
      <c r="BC95" s="414"/>
      <c r="BD95" s="414"/>
      <c r="BE95" s="429"/>
      <c r="BJ95" s="767"/>
      <c r="BK95" s="413">
        <v>6.9999999999998994E-2</v>
      </c>
      <c r="BL95" s="437"/>
      <c r="BM95" s="438"/>
      <c r="BN95" s="438"/>
      <c r="BO95" s="438"/>
      <c r="BP95" s="438"/>
      <c r="BQ95" s="438"/>
      <c r="BR95" s="438"/>
      <c r="BS95" s="438"/>
      <c r="BT95" s="438"/>
      <c r="BU95" s="438"/>
      <c r="BV95" s="438"/>
      <c r="BW95" s="438"/>
      <c r="BX95" s="438"/>
      <c r="BY95" s="438"/>
      <c r="BZ95" s="438"/>
      <c r="CA95" s="438"/>
      <c r="CB95" s="438"/>
      <c r="CC95" s="438"/>
      <c r="CD95" s="438"/>
      <c r="CE95" s="438"/>
      <c r="CF95" s="438"/>
      <c r="CG95" s="438"/>
      <c r="CH95" s="438"/>
      <c r="CI95" s="439"/>
      <c r="CN95" s="767"/>
      <c r="CO95" s="413">
        <v>6.9999999999998994E-2</v>
      </c>
      <c r="CP95" s="437"/>
      <c r="CQ95" s="438"/>
      <c r="CR95" s="438"/>
      <c r="CS95" s="438"/>
      <c r="CT95" s="438"/>
      <c r="CU95" s="438"/>
      <c r="CV95" s="438"/>
      <c r="CW95" s="438"/>
      <c r="CX95" s="438"/>
      <c r="CY95" s="438"/>
      <c r="CZ95" s="438"/>
      <c r="DA95" s="438"/>
      <c r="DB95" s="438"/>
      <c r="DC95" s="438"/>
      <c r="DD95" s="438"/>
      <c r="DE95" s="438"/>
      <c r="DF95" s="438"/>
      <c r="DG95" s="438"/>
      <c r="DH95" s="438"/>
      <c r="DI95" s="438"/>
      <c r="DJ95" s="438"/>
      <c r="DK95" s="438"/>
      <c r="DL95" s="438"/>
      <c r="DM95" s="439"/>
      <c r="DR95" s="767"/>
      <c r="DS95" s="413">
        <v>6.9999999999998994E-2</v>
      </c>
      <c r="DT95" s="437"/>
      <c r="DU95" s="438"/>
      <c r="DV95" s="438"/>
      <c r="DW95" s="438"/>
      <c r="DX95" s="438"/>
      <c r="DY95" s="438"/>
      <c r="DZ95" s="438"/>
      <c r="EA95" s="438"/>
      <c r="EB95" s="438"/>
      <c r="EC95" s="438"/>
      <c r="ED95" s="438"/>
      <c r="EE95" s="438"/>
      <c r="EF95" s="438"/>
      <c r="EG95" s="438"/>
      <c r="EH95" s="438"/>
      <c r="EI95" s="438"/>
      <c r="EJ95" s="438"/>
      <c r="EK95" s="438"/>
      <c r="EL95" s="438"/>
      <c r="EM95" s="438"/>
      <c r="EN95" s="438"/>
      <c r="EO95" s="438"/>
      <c r="EP95" s="438"/>
      <c r="EQ95" s="439"/>
    </row>
    <row r="96" spans="2:147" x14ac:dyDescent="0.35">
      <c r="B96" s="767"/>
      <c r="C96" s="413">
        <v>5.9999999999998999E-2</v>
      </c>
      <c r="D96" s="420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21"/>
      <c r="AF96" s="767"/>
      <c r="AG96" s="413">
        <v>5.9999999999998999E-2</v>
      </c>
      <c r="AH96" s="428"/>
      <c r="AI96" s="414"/>
      <c r="AJ96" s="414"/>
      <c r="AK96" s="414"/>
      <c r="AL96" s="414"/>
      <c r="AM96" s="414"/>
      <c r="AN96" s="414"/>
      <c r="AO96" s="414"/>
      <c r="AP96" s="414"/>
      <c r="AQ96" s="414"/>
      <c r="AR96" s="414"/>
      <c r="AS96" s="414"/>
      <c r="AT96" s="414"/>
      <c r="AU96" s="414"/>
      <c r="AV96" s="414"/>
      <c r="AW96" s="414"/>
      <c r="AX96" s="414"/>
      <c r="AY96" s="414"/>
      <c r="AZ96" s="414"/>
      <c r="BA96" s="414"/>
      <c r="BB96" s="414"/>
      <c r="BC96" s="414"/>
      <c r="BD96" s="414"/>
      <c r="BE96" s="429"/>
      <c r="BJ96" s="767"/>
      <c r="BK96" s="413">
        <v>5.9999999999998999E-2</v>
      </c>
      <c r="BL96" s="437"/>
      <c r="BM96" s="438"/>
      <c r="BN96" s="438"/>
      <c r="BO96" s="438"/>
      <c r="BP96" s="438"/>
      <c r="BQ96" s="438"/>
      <c r="BR96" s="438"/>
      <c r="BS96" s="438"/>
      <c r="BT96" s="438"/>
      <c r="BU96" s="438"/>
      <c r="BV96" s="438"/>
      <c r="BW96" s="438"/>
      <c r="BX96" s="438"/>
      <c r="BY96" s="438"/>
      <c r="BZ96" s="438"/>
      <c r="CA96" s="438"/>
      <c r="CB96" s="438"/>
      <c r="CC96" s="438"/>
      <c r="CD96" s="438"/>
      <c r="CE96" s="438"/>
      <c r="CF96" s="438"/>
      <c r="CG96" s="438"/>
      <c r="CH96" s="438"/>
      <c r="CI96" s="439"/>
      <c r="CN96" s="767"/>
      <c r="CO96" s="413">
        <v>5.9999999999998999E-2</v>
      </c>
      <c r="CP96" s="437"/>
      <c r="CQ96" s="438"/>
      <c r="CR96" s="438"/>
      <c r="CS96" s="438"/>
      <c r="CT96" s="438"/>
      <c r="CU96" s="438"/>
      <c r="CV96" s="438"/>
      <c r="CW96" s="438"/>
      <c r="CX96" s="438"/>
      <c r="CY96" s="438"/>
      <c r="CZ96" s="438"/>
      <c r="DA96" s="438"/>
      <c r="DB96" s="438"/>
      <c r="DC96" s="438"/>
      <c r="DD96" s="438"/>
      <c r="DE96" s="438"/>
      <c r="DF96" s="438"/>
      <c r="DG96" s="438"/>
      <c r="DH96" s="438"/>
      <c r="DI96" s="438"/>
      <c r="DJ96" s="438"/>
      <c r="DK96" s="438"/>
      <c r="DL96" s="438"/>
      <c r="DM96" s="439"/>
      <c r="DR96" s="767"/>
      <c r="DS96" s="413">
        <v>5.9999999999999103E-2</v>
      </c>
      <c r="DT96" s="437"/>
      <c r="DU96" s="438"/>
      <c r="DV96" s="438"/>
      <c r="DW96" s="438"/>
      <c r="DX96" s="438"/>
      <c r="DY96" s="438"/>
      <c r="DZ96" s="438"/>
      <c r="EA96" s="438"/>
      <c r="EB96" s="438"/>
      <c r="EC96" s="438"/>
      <c r="ED96" s="438"/>
      <c r="EE96" s="438"/>
      <c r="EF96" s="438"/>
      <c r="EG96" s="438"/>
      <c r="EH96" s="438"/>
      <c r="EI96" s="438"/>
      <c r="EJ96" s="438"/>
      <c r="EK96" s="438"/>
      <c r="EL96" s="438"/>
      <c r="EM96" s="438"/>
      <c r="EN96" s="438"/>
      <c r="EO96" s="438"/>
      <c r="EP96" s="438"/>
      <c r="EQ96" s="439"/>
    </row>
    <row r="97" spans="2:149" ht="15" customHeight="1" x14ac:dyDescent="0.35">
      <c r="B97" s="767"/>
      <c r="C97" s="413">
        <v>4.9999999999998997E-2</v>
      </c>
      <c r="D97" s="420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21"/>
      <c r="AF97" s="767"/>
      <c r="AG97" s="413">
        <v>4.9999999999998997E-2</v>
      </c>
      <c r="AH97" s="428"/>
      <c r="AI97" s="414"/>
      <c r="AJ97" s="414"/>
      <c r="AK97" s="414"/>
      <c r="AL97" s="414"/>
      <c r="AM97" s="414"/>
      <c r="AN97" s="414"/>
      <c r="AO97" s="414"/>
      <c r="AP97" s="414"/>
      <c r="AQ97" s="414"/>
      <c r="AR97" s="414"/>
      <c r="AS97" s="414"/>
      <c r="AT97" s="414"/>
      <c r="AU97" s="414"/>
      <c r="AV97" s="414"/>
      <c r="AW97" s="414"/>
      <c r="AX97" s="414"/>
      <c r="AY97" s="414"/>
      <c r="AZ97" s="414"/>
      <c r="BA97" s="414"/>
      <c r="BB97" s="414"/>
      <c r="BC97" s="414"/>
      <c r="BD97" s="414"/>
      <c r="BE97" s="429"/>
      <c r="BJ97" s="767"/>
      <c r="BK97" s="413">
        <v>4.9999999999998997E-2</v>
      </c>
      <c r="BL97" s="437"/>
      <c r="BM97" s="438"/>
      <c r="BN97" s="438"/>
      <c r="BO97" s="438"/>
      <c r="BP97" s="438"/>
      <c r="BQ97" s="438"/>
      <c r="BR97" s="438"/>
      <c r="BS97" s="438"/>
      <c r="BT97" s="438"/>
      <c r="BU97" s="438"/>
      <c r="BV97" s="438"/>
      <c r="BW97" s="438"/>
      <c r="BX97" s="438"/>
      <c r="BY97" s="438"/>
      <c r="BZ97" s="438"/>
      <c r="CA97" s="438"/>
      <c r="CB97" s="438"/>
      <c r="CC97" s="438"/>
      <c r="CD97" s="438"/>
      <c r="CE97" s="438"/>
      <c r="CF97" s="438"/>
      <c r="CG97" s="438"/>
      <c r="CH97" s="438"/>
      <c r="CI97" s="439"/>
      <c r="CN97" s="767"/>
      <c r="CO97" s="443">
        <v>4.9999999999998997E-2</v>
      </c>
      <c r="CP97" s="437"/>
      <c r="CQ97" s="438"/>
      <c r="CR97" s="438"/>
      <c r="CS97" s="438"/>
      <c r="CT97" s="438"/>
      <c r="CU97" s="438"/>
      <c r="CV97" s="438"/>
      <c r="CW97" s="438"/>
      <c r="CX97" s="438"/>
      <c r="CY97" s="438"/>
      <c r="CZ97" s="438"/>
      <c r="DA97" s="438"/>
      <c r="DB97" s="438"/>
      <c r="DC97" s="438"/>
      <c r="DD97" s="438"/>
      <c r="DE97" s="438"/>
      <c r="DF97" s="438"/>
      <c r="DG97" s="438"/>
      <c r="DH97" s="438"/>
      <c r="DI97" s="438"/>
      <c r="DJ97" s="438"/>
      <c r="DK97" s="438"/>
      <c r="DL97" s="438"/>
      <c r="DM97" s="439"/>
      <c r="DR97" s="767"/>
      <c r="DS97" s="443">
        <v>4.9999999999998997E-2</v>
      </c>
      <c r="DT97" s="437"/>
      <c r="DU97" s="438"/>
      <c r="DV97" s="438"/>
      <c r="DW97" s="438"/>
      <c r="DX97" s="438"/>
      <c r="DY97" s="438"/>
      <c r="DZ97" s="438"/>
      <c r="EA97" s="438"/>
      <c r="EB97" s="438"/>
      <c r="EC97" s="438"/>
      <c r="ED97" s="438"/>
      <c r="EE97" s="438"/>
      <c r="EF97" s="438"/>
      <c r="EG97" s="438"/>
      <c r="EH97" s="438"/>
      <c r="EI97" s="438"/>
      <c r="EJ97" s="438"/>
      <c r="EK97" s="438"/>
      <c r="EL97" s="438"/>
      <c r="EM97" s="438"/>
      <c r="EN97" s="438"/>
      <c r="EO97" s="438"/>
      <c r="EP97" s="438"/>
      <c r="EQ97" s="439"/>
    </row>
    <row r="98" spans="2:149" x14ac:dyDescent="0.35">
      <c r="B98" s="767"/>
      <c r="C98" s="413">
        <v>3.9999999999999002E-2</v>
      </c>
      <c r="D98" s="420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  <c r="W98" s="416"/>
      <c r="X98" s="416"/>
      <c r="Y98" s="416"/>
      <c r="Z98" s="416"/>
      <c r="AA98" s="421"/>
      <c r="AF98" s="767"/>
      <c r="AG98" s="413">
        <v>3.9999999999999002E-2</v>
      </c>
      <c r="AH98" s="428"/>
      <c r="AI98" s="414"/>
      <c r="AJ98" s="414"/>
      <c r="AK98" s="414"/>
      <c r="AL98" s="414"/>
      <c r="AM98" s="414"/>
      <c r="AN98" s="414"/>
      <c r="AO98" s="414"/>
      <c r="AP98" s="414"/>
      <c r="AQ98" s="414"/>
      <c r="AR98" s="414"/>
      <c r="AS98" s="414"/>
      <c r="AT98" s="414"/>
      <c r="AU98" s="414"/>
      <c r="AV98" s="414"/>
      <c r="AW98" s="414"/>
      <c r="AX98" s="414"/>
      <c r="AY98" s="414"/>
      <c r="AZ98" s="414"/>
      <c r="BA98" s="414"/>
      <c r="BB98" s="414"/>
      <c r="BC98" s="414"/>
      <c r="BD98" s="414"/>
      <c r="BE98" s="429"/>
      <c r="BJ98" s="767"/>
      <c r="BK98" s="413">
        <v>3.9999999999999002E-2</v>
      </c>
      <c r="BL98" s="437"/>
      <c r="BM98" s="438"/>
      <c r="BN98" s="438"/>
      <c r="BO98" s="438"/>
      <c r="BP98" s="438"/>
      <c r="BQ98" s="438"/>
      <c r="BR98" s="438"/>
      <c r="BS98" s="438"/>
      <c r="BT98" s="438"/>
      <c r="BU98" s="438"/>
      <c r="BV98" s="438"/>
      <c r="BW98" s="438"/>
      <c r="BX98" s="438"/>
      <c r="BY98" s="438"/>
      <c r="BZ98" s="438"/>
      <c r="CA98" s="438"/>
      <c r="CB98" s="438"/>
      <c r="CC98" s="438"/>
      <c r="CD98" s="438"/>
      <c r="CE98" s="438"/>
      <c r="CF98" s="438"/>
      <c r="CG98" s="438"/>
      <c r="CH98" s="438"/>
      <c r="CI98" s="439"/>
      <c r="CN98" s="767"/>
      <c r="CO98" s="413">
        <v>3.9999999999999002E-2</v>
      </c>
      <c r="CP98" s="437"/>
      <c r="CQ98" s="438"/>
      <c r="CR98" s="438"/>
      <c r="CS98" s="438"/>
      <c r="CT98" s="438"/>
      <c r="CU98" s="438"/>
      <c r="CV98" s="438"/>
      <c r="CW98" s="438"/>
      <c r="CX98" s="438"/>
      <c r="CY98" s="438"/>
      <c r="CZ98" s="438"/>
      <c r="DA98" s="438"/>
      <c r="DB98" s="438"/>
      <c r="DC98" s="438"/>
      <c r="DD98" s="438"/>
      <c r="DE98" s="438"/>
      <c r="DF98" s="438"/>
      <c r="DG98" s="438"/>
      <c r="DH98" s="438"/>
      <c r="DI98" s="438"/>
      <c r="DJ98" s="438"/>
      <c r="DK98" s="438"/>
      <c r="DL98" s="438"/>
      <c r="DM98" s="439"/>
      <c r="DR98" s="767"/>
      <c r="DS98" s="413">
        <v>3.9999999999999002E-2</v>
      </c>
      <c r="DT98" s="437"/>
      <c r="DU98" s="438"/>
      <c r="DV98" s="438"/>
      <c r="DW98" s="438"/>
      <c r="DX98" s="438"/>
      <c r="DY98" s="438"/>
      <c r="DZ98" s="438"/>
      <c r="EA98" s="438"/>
      <c r="EB98" s="438"/>
      <c r="EC98" s="438"/>
      <c r="ED98" s="438"/>
      <c r="EE98" s="438"/>
      <c r="EF98" s="438"/>
      <c r="EG98" s="438"/>
      <c r="EH98" s="438"/>
      <c r="EI98" s="438"/>
      <c r="EJ98" s="438"/>
      <c r="EK98" s="438"/>
      <c r="EL98" s="438"/>
      <c r="EM98" s="438"/>
      <c r="EN98" s="438"/>
      <c r="EO98" s="438"/>
      <c r="EP98" s="438"/>
      <c r="EQ98" s="439"/>
    </row>
    <row r="99" spans="2:149" x14ac:dyDescent="0.35">
      <c r="B99" s="767"/>
      <c r="C99" s="413">
        <v>2.9999999999999E-2</v>
      </c>
      <c r="D99" s="420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21"/>
      <c r="AF99" s="767"/>
      <c r="AG99" s="413">
        <v>2.9999999999999E-2</v>
      </c>
      <c r="AH99" s="428"/>
      <c r="AI99" s="414"/>
      <c r="AJ99" s="414"/>
      <c r="AK99" s="414"/>
      <c r="AL99" s="414"/>
      <c r="AM99" s="414"/>
      <c r="AN99" s="414"/>
      <c r="AO99" s="414"/>
      <c r="AP99" s="414"/>
      <c r="AQ99" s="414"/>
      <c r="AR99" s="414"/>
      <c r="AS99" s="414"/>
      <c r="AT99" s="414"/>
      <c r="AU99" s="414"/>
      <c r="AV99" s="414"/>
      <c r="AW99" s="414"/>
      <c r="AX99" s="414"/>
      <c r="AY99" s="414"/>
      <c r="AZ99" s="414"/>
      <c r="BA99" s="414"/>
      <c r="BB99" s="414"/>
      <c r="BC99" s="414"/>
      <c r="BD99" s="414"/>
      <c r="BE99" s="429"/>
      <c r="BJ99" s="767"/>
      <c r="BK99" s="413">
        <v>2.9999999999999E-2</v>
      </c>
      <c r="BL99" s="437"/>
      <c r="BM99" s="438"/>
      <c r="BN99" s="438"/>
      <c r="BO99" s="438"/>
      <c r="BP99" s="438"/>
      <c r="BQ99" s="438"/>
      <c r="BR99" s="438"/>
      <c r="BS99" s="438"/>
      <c r="BT99" s="438"/>
      <c r="BU99" s="438"/>
      <c r="BV99" s="438"/>
      <c r="BW99" s="438"/>
      <c r="BX99" s="438"/>
      <c r="BY99" s="438"/>
      <c r="BZ99" s="438"/>
      <c r="CA99" s="438"/>
      <c r="CB99" s="438"/>
      <c r="CC99" s="438"/>
      <c r="CD99" s="438"/>
      <c r="CE99" s="438"/>
      <c r="CF99" s="438"/>
      <c r="CG99" s="438"/>
      <c r="CH99" s="438"/>
      <c r="CI99" s="439"/>
      <c r="CN99" s="767"/>
      <c r="CO99" s="413">
        <v>2.9999999999999E-2</v>
      </c>
      <c r="CP99" s="437"/>
      <c r="CQ99" s="438"/>
      <c r="CR99" s="438"/>
      <c r="CS99" s="438"/>
      <c r="CT99" s="438"/>
      <c r="CU99" s="438"/>
      <c r="CV99" s="438"/>
      <c r="CW99" s="438"/>
      <c r="CX99" s="438"/>
      <c r="CY99" s="438"/>
      <c r="CZ99" s="438"/>
      <c r="DA99" s="438"/>
      <c r="DB99" s="438"/>
      <c r="DC99" s="438"/>
      <c r="DD99" s="438"/>
      <c r="DE99" s="438"/>
      <c r="DF99" s="438"/>
      <c r="DG99" s="438"/>
      <c r="DH99" s="438"/>
      <c r="DI99" s="438"/>
      <c r="DJ99" s="438"/>
      <c r="DK99" s="438"/>
      <c r="DL99" s="438"/>
      <c r="DM99" s="439"/>
      <c r="DR99" s="767"/>
      <c r="DS99" s="413">
        <v>2.9999999999999E-2</v>
      </c>
      <c r="DT99" s="437"/>
      <c r="DU99" s="438"/>
      <c r="DV99" s="438"/>
      <c r="DW99" s="438"/>
      <c r="DX99" s="438"/>
      <c r="DY99" s="438"/>
      <c r="DZ99" s="438"/>
      <c r="EA99" s="438"/>
      <c r="EB99" s="438"/>
      <c r="EC99" s="438"/>
      <c r="ED99" s="438"/>
      <c r="EE99" s="438"/>
      <c r="EF99" s="438"/>
      <c r="EG99" s="438"/>
      <c r="EH99" s="438"/>
      <c r="EI99" s="438"/>
      <c r="EJ99" s="438"/>
      <c r="EK99" s="438"/>
      <c r="EL99" s="438"/>
      <c r="EM99" s="438"/>
      <c r="EN99" s="438"/>
      <c r="EO99" s="438"/>
      <c r="EP99" s="438"/>
      <c r="EQ99" s="439"/>
    </row>
    <row r="100" spans="2:149" x14ac:dyDescent="0.35">
      <c r="B100" s="767"/>
      <c r="C100" s="413">
        <v>1.9999999999999001E-2</v>
      </c>
      <c r="D100" s="420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21"/>
      <c r="AF100" s="767"/>
      <c r="AG100" s="413">
        <v>1.9999999999999001E-2</v>
      </c>
      <c r="AH100" s="428"/>
      <c r="AI100" s="414"/>
      <c r="AJ100" s="414"/>
      <c r="AK100" s="414"/>
      <c r="AL100" s="414"/>
      <c r="AM100" s="414"/>
      <c r="AN100" s="414"/>
      <c r="AO100" s="414"/>
      <c r="AP100" s="414"/>
      <c r="AQ100" s="414"/>
      <c r="AR100" s="414"/>
      <c r="AS100" s="414"/>
      <c r="AT100" s="414"/>
      <c r="AU100" s="414"/>
      <c r="AV100" s="414"/>
      <c r="AW100" s="414"/>
      <c r="AX100" s="414"/>
      <c r="AY100" s="414"/>
      <c r="AZ100" s="414"/>
      <c r="BA100" s="414"/>
      <c r="BB100" s="414"/>
      <c r="BC100" s="414"/>
      <c r="BD100" s="414"/>
      <c r="BE100" s="429"/>
      <c r="BJ100" s="767"/>
      <c r="BK100" s="413">
        <v>1.9999999999999001E-2</v>
      </c>
      <c r="BL100" s="437"/>
      <c r="BM100" s="438"/>
      <c r="BN100" s="438"/>
      <c r="BO100" s="438"/>
      <c r="BP100" s="438"/>
      <c r="BQ100" s="438"/>
      <c r="BR100" s="438"/>
      <c r="BS100" s="438"/>
      <c r="BT100" s="438"/>
      <c r="BU100" s="438"/>
      <c r="BV100" s="438"/>
      <c r="BW100" s="438"/>
      <c r="BX100" s="438"/>
      <c r="BY100" s="438"/>
      <c r="BZ100" s="438"/>
      <c r="CA100" s="438"/>
      <c r="CB100" s="438"/>
      <c r="CC100" s="438"/>
      <c r="CD100" s="438"/>
      <c r="CE100" s="438"/>
      <c r="CF100" s="438"/>
      <c r="CG100" s="438"/>
      <c r="CH100" s="438"/>
      <c r="CI100" s="439"/>
      <c r="CN100" s="767"/>
      <c r="CO100" s="413">
        <v>1.9999999999999001E-2</v>
      </c>
      <c r="CP100" s="437"/>
      <c r="CQ100" s="438"/>
      <c r="CR100" s="438"/>
      <c r="CS100" s="438"/>
      <c r="CT100" s="438"/>
      <c r="CU100" s="438"/>
      <c r="CV100" s="438"/>
      <c r="CW100" s="438"/>
      <c r="CX100" s="438"/>
      <c r="CY100" s="438"/>
      <c r="CZ100" s="438"/>
      <c r="DA100" s="438"/>
      <c r="DB100" s="438"/>
      <c r="DC100" s="438"/>
      <c r="DD100" s="438"/>
      <c r="DE100" s="438"/>
      <c r="DF100" s="438"/>
      <c r="DG100" s="438"/>
      <c r="DH100" s="438"/>
      <c r="DI100" s="438"/>
      <c r="DJ100" s="438"/>
      <c r="DK100" s="438"/>
      <c r="DL100" s="438"/>
      <c r="DM100" s="439"/>
      <c r="DR100" s="767"/>
      <c r="DS100" s="413">
        <v>1.9999999999999001E-2</v>
      </c>
      <c r="DT100" s="437"/>
      <c r="DU100" s="438"/>
      <c r="DV100" s="438"/>
      <c r="DW100" s="438"/>
      <c r="DX100" s="438"/>
      <c r="DY100" s="438"/>
      <c r="DZ100" s="438"/>
      <c r="EA100" s="438"/>
      <c r="EB100" s="438"/>
      <c r="EC100" s="438"/>
      <c r="ED100" s="438"/>
      <c r="EE100" s="438"/>
      <c r="EF100" s="438"/>
      <c r="EG100" s="438"/>
      <c r="EH100" s="438"/>
      <c r="EI100" s="438"/>
      <c r="EJ100" s="438"/>
      <c r="EK100" s="438"/>
      <c r="EL100" s="438"/>
      <c r="EM100" s="438"/>
      <c r="EN100" s="438"/>
      <c r="EO100" s="438"/>
      <c r="EP100" s="438"/>
      <c r="EQ100" s="439"/>
    </row>
    <row r="101" spans="2:149" ht="15" thickBot="1" x14ac:dyDescent="0.4">
      <c r="B101" s="767"/>
      <c r="C101" s="413">
        <v>9.9999999999990097E-3</v>
      </c>
      <c r="D101" s="422"/>
      <c r="E101" s="423"/>
      <c r="F101" s="423"/>
      <c r="G101" s="423"/>
      <c r="H101" s="423"/>
      <c r="I101" s="423"/>
      <c r="J101" s="423"/>
      <c r="K101" s="423"/>
      <c r="L101" s="423"/>
      <c r="M101" s="423"/>
      <c r="N101" s="423"/>
      <c r="O101" s="423"/>
      <c r="P101" s="423"/>
      <c r="Q101" s="423"/>
      <c r="R101" s="423"/>
      <c r="S101" s="423"/>
      <c r="T101" s="423"/>
      <c r="U101" s="423"/>
      <c r="V101" s="423"/>
      <c r="W101" s="423"/>
      <c r="X101" s="423"/>
      <c r="Y101" s="423"/>
      <c r="Z101" s="423"/>
      <c r="AA101" s="424"/>
      <c r="AB101" s="293"/>
      <c r="AF101" s="767"/>
      <c r="AG101" s="413">
        <v>9.9999999999990097E-3</v>
      </c>
      <c r="AH101" s="430"/>
      <c r="AI101" s="431"/>
      <c r="AJ101" s="431"/>
      <c r="AK101" s="431"/>
      <c r="AL101" s="431"/>
      <c r="AM101" s="431"/>
      <c r="AN101" s="431"/>
      <c r="AO101" s="431"/>
      <c r="AP101" s="431"/>
      <c r="AQ101" s="431"/>
      <c r="AR101" s="431"/>
      <c r="AS101" s="431"/>
      <c r="AT101" s="431"/>
      <c r="AU101" s="431"/>
      <c r="AV101" s="431"/>
      <c r="AW101" s="431"/>
      <c r="AX101" s="431"/>
      <c r="AY101" s="431"/>
      <c r="AZ101" s="431"/>
      <c r="BA101" s="431"/>
      <c r="BB101" s="431"/>
      <c r="BC101" s="431"/>
      <c r="BD101" s="431"/>
      <c r="BE101" s="432"/>
      <c r="BF101" s="293"/>
      <c r="BJ101" s="767"/>
      <c r="BK101" s="413">
        <v>9.9999999999990097E-3</v>
      </c>
      <c r="BL101" s="440"/>
      <c r="BM101" s="441"/>
      <c r="BN101" s="441"/>
      <c r="BO101" s="441"/>
      <c r="BP101" s="441"/>
      <c r="BQ101" s="441"/>
      <c r="BR101" s="441"/>
      <c r="BS101" s="441"/>
      <c r="BT101" s="441"/>
      <c r="BU101" s="441"/>
      <c r="BV101" s="441"/>
      <c r="BW101" s="441"/>
      <c r="BX101" s="441"/>
      <c r="BY101" s="441"/>
      <c r="BZ101" s="441"/>
      <c r="CA101" s="441"/>
      <c r="CB101" s="441"/>
      <c r="CC101" s="441"/>
      <c r="CD101" s="441"/>
      <c r="CE101" s="441"/>
      <c r="CF101" s="441"/>
      <c r="CG101" s="441"/>
      <c r="CH101" s="441"/>
      <c r="CI101" s="442"/>
      <c r="CJ101" s="293"/>
      <c r="CN101" s="767"/>
      <c r="CO101" s="413">
        <v>9.9999999999990097E-3</v>
      </c>
      <c r="CP101" s="440"/>
      <c r="CQ101" s="441"/>
      <c r="CR101" s="441"/>
      <c r="CS101" s="441"/>
      <c r="CT101" s="441"/>
      <c r="CU101" s="441"/>
      <c r="CV101" s="441"/>
      <c r="CW101" s="441"/>
      <c r="CX101" s="441"/>
      <c r="CY101" s="441"/>
      <c r="CZ101" s="441"/>
      <c r="DA101" s="441"/>
      <c r="DB101" s="441"/>
      <c r="DC101" s="441"/>
      <c r="DD101" s="441"/>
      <c r="DE101" s="441"/>
      <c r="DF101" s="441"/>
      <c r="DG101" s="441"/>
      <c r="DH101" s="441"/>
      <c r="DI101" s="441"/>
      <c r="DJ101" s="441"/>
      <c r="DK101" s="441"/>
      <c r="DL101" s="441"/>
      <c r="DM101" s="442"/>
      <c r="DN101" s="293"/>
      <c r="DR101" s="767"/>
      <c r="DS101" s="413">
        <v>9.9999999999990097E-3</v>
      </c>
      <c r="DT101" s="440"/>
      <c r="DU101" s="441"/>
      <c r="DV101" s="441"/>
      <c r="DW101" s="441"/>
      <c r="DX101" s="441"/>
      <c r="DY101" s="441"/>
      <c r="DZ101" s="441"/>
      <c r="EA101" s="441"/>
      <c r="EB101" s="441"/>
      <c r="EC101" s="441"/>
      <c r="ED101" s="441"/>
      <c r="EE101" s="441"/>
      <c r="EF101" s="441"/>
      <c r="EG101" s="441"/>
      <c r="EH101" s="441"/>
      <c r="EI101" s="441"/>
      <c r="EJ101" s="441"/>
      <c r="EK101" s="441"/>
      <c r="EL101" s="441"/>
      <c r="EM101" s="441"/>
      <c r="EN101" s="441"/>
      <c r="EO101" s="441"/>
      <c r="EP101" s="441"/>
      <c r="EQ101" s="442"/>
      <c r="ER101" s="293"/>
    </row>
    <row r="102" spans="2:149" x14ac:dyDescent="0.35">
      <c r="D102">
        <v>1</v>
      </c>
      <c r="E102">
        <v>2</v>
      </c>
      <c r="F102">
        <v>3</v>
      </c>
      <c r="G102">
        <v>4</v>
      </c>
      <c r="H102">
        <v>5</v>
      </c>
      <c r="I102">
        <v>6</v>
      </c>
      <c r="J102">
        <v>7</v>
      </c>
      <c r="K102">
        <v>8</v>
      </c>
      <c r="L102">
        <v>9</v>
      </c>
      <c r="M102">
        <v>10</v>
      </c>
      <c r="N102">
        <v>11</v>
      </c>
      <c r="O102">
        <v>12</v>
      </c>
      <c r="P102">
        <v>13</v>
      </c>
      <c r="Q102">
        <v>14</v>
      </c>
      <c r="R102">
        <v>15</v>
      </c>
      <c r="S102">
        <v>16</v>
      </c>
      <c r="T102">
        <v>17</v>
      </c>
      <c r="U102">
        <v>18</v>
      </c>
      <c r="V102">
        <v>19</v>
      </c>
      <c r="W102">
        <v>20</v>
      </c>
      <c r="X102">
        <v>21</v>
      </c>
      <c r="Y102">
        <v>22</v>
      </c>
      <c r="Z102">
        <v>23</v>
      </c>
      <c r="AA102">
        <v>24</v>
      </c>
      <c r="AH102">
        <v>1</v>
      </c>
      <c r="AI102">
        <v>2</v>
      </c>
      <c r="AJ102">
        <v>3</v>
      </c>
      <c r="AK102">
        <v>4</v>
      </c>
      <c r="AL102">
        <v>5</v>
      </c>
      <c r="AM102">
        <v>6</v>
      </c>
      <c r="AN102">
        <v>7</v>
      </c>
      <c r="AO102">
        <v>8</v>
      </c>
      <c r="AP102">
        <v>9</v>
      </c>
      <c r="AQ102">
        <v>10</v>
      </c>
      <c r="AR102">
        <v>11</v>
      </c>
      <c r="AS102">
        <v>12</v>
      </c>
      <c r="AT102">
        <v>13</v>
      </c>
      <c r="AU102">
        <v>14</v>
      </c>
      <c r="AV102">
        <v>15</v>
      </c>
      <c r="AW102">
        <v>16</v>
      </c>
      <c r="AX102">
        <v>17</v>
      </c>
      <c r="AY102">
        <v>18</v>
      </c>
      <c r="AZ102">
        <v>19</v>
      </c>
      <c r="BA102">
        <v>20</v>
      </c>
      <c r="BB102">
        <v>21</v>
      </c>
      <c r="BC102">
        <v>22</v>
      </c>
      <c r="BD102">
        <v>23</v>
      </c>
      <c r="BE102">
        <v>24</v>
      </c>
      <c r="BL102">
        <v>1</v>
      </c>
      <c r="BM102">
        <v>2</v>
      </c>
      <c r="BN102">
        <v>3</v>
      </c>
      <c r="BO102">
        <v>4</v>
      </c>
      <c r="BP102">
        <v>5</v>
      </c>
      <c r="BQ102">
        <v>6</v>
      </c>
      <c r="BR102">
        <v>7</v>
      </c>
      <c r="BS102">
        <v>8</v>
      </c>
      <c r="BT102">
        <v>9</v>
      </c>
      <c r="BU102">
        <v>10</v>
      </c>
      <c r="BV102">
        <v>11</v>
      </c>
      <c r="BW102">
        <v>12</v>
      </c>
      <c r="BX102">
        <v>13</v>
      </c>
      <c r="BY102">
        <v>14</v>
      </c>
      <c r="BZ102">
        <v>15</v>
      </c>
      <c r="CA102">
        <v>16</v>
      </c>
      <c r="CB102">
        <v>17</v>
      </c>
      <c r="CC102">
        <v>18</v>
      </c>
      <c r="CD102">
        <v>19</v>
      </c>
      <c r="CE102">
        <v>20</v>
      </c>
      <c r="CF102">
        <v>21</v>
      </c>
      <c r="CG102">
        <v>22</v>
      </c>
      <c r="CH102">
        <v>23</v>
      </c>
      <c r="CI102">
        <v>24</v>
      </c>
      <c r="CP102">
        <v>1</v>
      </c>
      <c r="CQ102">
        <v>2</v>
      </c>
      <c r="CR102">
        <v>3</v>
      </c>
      <c r="CS102">
        <v>4</v>
      </c>
      <c r="CT102">
        <v>5</v>
      </c>
      <c r="CU102">
        <v>6</v>
      </c>
      <c r="CV102">
        <v>7</v>
      </c>
      <c r="CW102">
        <v>8</v>
      </c>
      <c r="CX102">
        <v>9</v>
      </c>
      <c r="CY102">
        <v>10</v>
      </c>
      <c r="CZ102">
        <v>11</v>
      </c>
      <c r="DA102">
        <v>12</v>
      </c>
      <c r="DB102">
        <v>13</v>
      </c>
      <c r="DC102">
        <v>14</v>
      </c>
      <c r="DD102">
        <v>15</v>
      </c>
      <c r="DE102">
        <v>16</v>
      </c>
      <c r="DF102">
        <v>17</v>
      </c>
      <c r="DG102">
        <v>18</v>
      </c>
      <c r="DH102">
        <v>19</v>
      </c>
      <c r="DI102">
        <v>20</v>
      </c>
      <c r="DJ102">
        <v>21</v>
      </c>
      <c r="DK102">
        <v>22</v>
      </c>
      <c r="DL102">
        <v>23</v>
      </c>
      <c r="DM102">
        <v>24</v>
      </c>
      <c r="DT102">
        <v>1</v>
      </c>
      <c r="DU102">
        <v>2</v>
      </c>
      <c r="DV102">
        <v>3</v>
      </c>
      <c r="DW102">
        <v>4</v>
      </c>
      <c r="DX102">
        <v>5</v>
      </c>
      <c r="DY102">
        <v>6</v>
      </c>
      <c r="DZ102">
        <v>7</v>
      </c>
      <c r="EA102">
        <v>8</v>
      </c>
      <c r="EB102">
        <v>9</v>
      </c>
      <c r="EC102">
        <v>10</v>
      </c>
      <c r="ED102">
        <v>11</v>
      </c>
      <c r="EE102">
        <v>12</v>
      </c>
      <c r="EF102">
        <v>13</v>
      </c>
      <c r="EG102">
        <v>14</v>
      </c>
      <c r="EH102">
        <v>15</v>
      </c>
      <c r="EI102">
        <v>16</v>
      </c>
      <c r="EJ102">
        <v>17</v>
      </c>
      <c r="EK102">
        <v>18</v>
      </c>
      <c r="EL102">
        <v>19</v>
      </c>
      <c r="EM102">
        <v>20</v>
      </c>
      <c r="EN102">
        <v>21</v>
      </c>
      <c r="EO102">
        <v>22</v>
      </c>
      <c r="EP102">
        <v>23</v>
      </c>
      <c r="EQ102">
        <v>24</v>
      </c>
    </row>
    <row r="103" spans="2:149" x14ac:dyDescent="0.35">
      <c r="D103" t="s">
        <v>129</v>
      </c>
      <c r="G103" s="294" t="s">
        <v>111</v>
      </c>
      <c r="AC103" s="294" t="s">
        <v>111</v>
      </c>
      <c r="AH103" t="s">
        <v>129</v>
      </c>
      <c r="AK103" s="294" t="s">
        <v>111</v>
      </c>
      <c r="BG103" s="294" t="s">
        <v>111</v>
      </c>
      <c r="BL103" t="s">
        <v>129</v>
      </c>
      <c r="BO103" s="294" t="s">
        <v>111</v>
      </c>
      <c r="CK103" s="294" t="s">
        <v>111</v>
      </c>
      <c r="CP103" t="s">
        <v>129</v>
      </c>
      <c r="CS103" s="294" t="s">
        <v>111</v>
      </c>
      <c r="DO103" s="294" t="s">
        <v>111</v>
      </c>
      <c r="DT103" t="s">
        <v>129</v>
      </c>
      <c r="DW103" s="294" t="s">
        <v>111</v>
      </c>
      <c r="ES103" s="294" t="s">
        <v>111</v>
      </c>
    </row>
    <row r="105" spans="2:149" x14ac:dyDescent="0.35">
      <c r="D105" t="s">
        <v>163</v>
      </c>
      <c r="AH105" s="295" t="s">
        <v>152</v>
      </c>
      <c r="BL105" s="296" t="s">
        <v>157</v>
      </c>
      <c r="CP105" s="296" t="s">
        <v>156</v>
      </c>
      <c r="DT105" s="295" t="s">
        <v>124</v>
      </c>
    </row>
    <row r="106" spans="2:149" x14ac:dyDescent="0.35">
      <c r="AH106" s="295" t="s">
        <v>153</v>
      </c>
      <c r="BL106" s="296" t="s">
        <v>159</v>
      </c>
      <c r="CP106" s="296" t="s">
        <v>160</v>
      </c>
      <c r="DT106" s="295" t="s">
        <v>161</v>
      </c>
    </row>
    <row r="107" spans="2:149" x14ac:dyDescent="0.35">
      <c r="AH107" s="295" t="s">
        <v>158</v>
      </c>
    </row>
    <row r="109" spans="2:149" x14ac:dyDescent="0.35">
      <c r="AH109" s="296" t="s">
        <v>155</v>
      </c>
    </row>
    <row r="110" spans="2:149" x14ac:dyDescent="0.35">
      <c r="AH110" s="296" t="s">
        <v>154</v>
      </c>
    </row>
    <row r="111" spans="2:149" x14ac:dyDescent="0.35">
      <c r="AH111" s="296" t="s">
        <v>162</v>
      </c>
    </row>
    <row r="112" spans="2:149" x14ac:dyDescent="0.35">
      <c r="AH112" s="415"/>
    </row>
  </sheetData>
  <mergeCells count="15">
    <mergeCell ref="AF2:AF9"/>
    <mergeCell ref="AF52:AF59"/>
    <mergeCell ref="AF94:AF101"/>
    <mergeCell ref="B2:B9"/>
    <mergeCell ref="B52:B59"/>
    <mergeCell ref="B94:B101"/>
    <mergeCell ref="CN94:CN101"/>
    <mergeCell ref="DR94:DR101"/>
    <mergeCell ref="DR52:DR59"/>
    <mergeCell ref="DR2:DR9"/>
    <mergeCell ref="BJ2:BJ9"/>
    <mergeCell ref="BJ52:BJ59"/>
    <mergeCell ref="BJ94:BJ101"/>
    <mergeCell ref="CN2:CN9"/>
    <mergeCell ref="CN52:CN5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IncAcum</vt:lpstr>
      <vt:lpstr>Gr1, 3tB x 3dNNT</vt:lpstr>
      <vt:lpstr>desde RR de MA</vt:lpstr>
      <vt:lpstr>Gr2, 3tB x 3dNNT</vt:lpstr>
      <vt:lpstr>ABC func riesgo, asumida lineal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GALO AGUSTIN SANCHEZ ROBLES</cp:lastModifiedBy>
  <dcterms:created xsi:type="dcterms:W3CDTF">2018-11-20T13:30:16Z</dcterms:created>
  <dcterms:modified xsi:type="dcterms:W3CDTF">2025-01-14T10:47:52Z</dcterms:modified>
</cp:coreProperties>
</file>